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.clapinski\Desktop\de minimis na stronie\"/>
    </mc:Choice>
  </mc:AlternateContent>
  <bookViews>
    <workbookView xWindow="0" yWindow="0" windowWidth="28800" windowHeight="11835"/>
  </bookViews>
  <sheets>
    <sheet name="MIESIECZNY" sheetId="1" r:id="rId1"/>
  </sheets>
  <definedNames>
    <definedName name="_xlnm.Print_Area" localSheetId="0">MIESIECZNY!$A$1:$I$158</definedName>
  </definedNames>
  <calcPr calcId="152511"/>
</workbook>
</file>

<file path=xl/calcChain.xml><?xml version="1.0" encoding="utf-8"?>
<calcChain xmlns="http://schemas.openxmlformats.org/spreadsheetml/2006/main">
  <c r="E19" i="1" l="1"/>
  <c r="F8" i="1" l="1"/>
  <c r="O5" i="1" l="1"/>
  <c r="G15" i="1" l="1"/>
  <c r="G14" i="1" s="1"/>
  <c r="E138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18" i="1"/>
  <c r="E119" i="1"/>
  <c r="E120" i="1"/>
  <c r="E121" i="1"/>
  <c r="E122" i="1"/>
  <c r="E123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01" i="1"/>
  <c r="E102" i="1"/>
  <c r="E89" i="1"/>
  <c r="E90" i="1"/>
  <c r="E91" i="1"/>
  <c r="E92" i="1"/>
  <c r="E93" i="1"/>
  <c r="E94" i="1"/>
  <c r="E95" i="1"/>
  <c r="E96" i="1"/>
  <c r="E97" i="1"/>
  <c r="E98" i="1"/>
  <c r="E99" i="1"/>
  <c r="E100" i="1"/>
  <c r="E79" i="1"/>
  <c r="E80" i="1"/>
  <c r="E81" i="1"/>
  <c r="E82" i="1"/>
  <c r="E83" i="1"/>
  <c r="E84" i="1"/>
  <c r="E85" i="1"/>
  <c r="E86" i="1"/>
  <c r="E87" i="1"/>
  <c r="E88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G9" i="1" l="1"/>
  <c r="B22" i="1"/>
  <c r="B133" i="1"/>
  <c r="B81" i="1"/>
  <c r="B114" i="1"/>
  <c r="B138" i="1"/>
  <c r="B44" i="1"/>
  <c r="B102" i="1"/>
  <c r="B109" i="1"/>
  <c r="G8" i="1"/>
  <c r="B54" i="1"/>
  <c r="B26" i="1"/>
  <c r="B92" i="1"/>
  <c r="B49" i="1"/>
  <c r="B36" i="1"/>
  <c r="B132" i="1"/>
  <c r="B52" i="1"/>
  <c r="B51" i="1"/>
  <c r="B45" i="1"/>
  <c r="B65" i="1"/>
  <c r="B100" i="1"/>
  <c r="B105" i="1"/>
  <c r="B119" i="1"/>
  <c r="B46" i="1"/>
  <c r="B63" i="1"/>
  <c r="B110" i="1"/>
  <c r="B108" i="1"/>
  <c r="B74" i="1"/>
  <c r="B84" i="1"/>
  <c r="B38" i="1"/>
  <c r="B88" i="1"/>
  <c r="B130" i="1"/>
  <c r="B48" i="1"/>
  <c r="B62" i="1"/>
  <c r="B101" i="1"/>
  <c r="B122" i="1"/>
  <c r="B121" i="1"/>
  <c r="B73" i="1"/>
  <c r="B97" i="1"/>
  <c r="B20" i="1"/>
  <c r="B125" i="1"/>
  <c r="B117" i="1"/>
  <c r="B61" i="1"/>
  <c r="B82" i="1"/>
  <c r="B19" i="1"/>
  <c r="B76" i="1"/>
  <c r="B34" i="1"/>
  <c r="B116" i="1"/>
  <c r="B23" i="1"/>
  <c r="B33" i="1"/>
  <c r="B87" i="1"/>
  <c r="B39" i="1"/>
  <c r="B113" i="1"/>
  <c r="B58" i="1"/>
  <c r="B93" i="1"/>
  <c r="B64" i="1"/>
  <c r="B29" i="1"/>
  <c r="B86" i="1"/>
  <c r="B47" i="1"/>
  <c r="B50" i="1"/>
  <c r="B41" i="1"/>
  <c r="B27" i="1"/>
  <c r="B80" i="1"/>
  <c r="B135" i="1"/>
  <c r="B131" i="1"/>
  <c r="B118" i="1"/>
  <c r="B104" i="1"/>
  <c r="B59" i="1"/>
  <c r="B30" i="1"/>
  <c r="B28" i="1"/>
  <c r="B112" i="1"/>
  <c r="B106" i="1"/>
  <c r="B56" i="1"/>
  <c r="B68" i="1"/>
  <c r="B89" i="1"/>
  <c r="B75" i="1"/>
  <c r="B21" i="1"/>
  <c r="B57" i="1"/>
  <c r="B43" i="1"/>
  <c r="B126" i="1"/>
  <c r="B128" i="1"/>
  <c r="B137" i="1"/>
  <c r="B103" i="1"/>
  <c r="B127" i="1"/>
  <c r="B94" i="1"/>
  <c r="B37" i="1"/>
  <c r="B71" i="1"/>
  <c r="B107" i="1"/>
  <c r="B120" i="1"/>
  <c r="B55" i="1"/>
  <c r="B25" i="1"/>
  <c r="B66" i="1"/>
  <c r="B111" i="1"/>
  <c r="B31" i="1"/>
  <c r="B136" i="1"/>
  <c r="B53" i="1"/>
  <c r="B99" i="1"/>
  <c r="B69" i="1"/>
  <c r="B98" i="1"/>
  <c r="B78" i="1"/>
  <c r="B90" i="1"/>
  <c r="B91" i="1"/>
  <c r="B134" i="1"/>
  <c r="B124" i="1"/>
  <c r="B95" i="1"/>
  <c r="B115" i="1"/>
  <c r="B79" i="1"/>
  <c r="B85" i="1"/>
  <c r="B32" i="1"/>
  <c r="B77" i="1"/>
  <c r="B42" i="1"/>
  <c r="B67" i="1"/>
  <c r="B129" i="1"/>
  <c r="B35" i="1"/>
  <c r="B60" i="1"/>
  <c r="B83" i="1"/>
  <c r="B72" i="1"/>
  <c r="B96" i="1"/>
  <c r="B40" i="1"/>
  <c r="B70" i="1"/>
  <c r="B24" i="1"/>
  <c r="B123" i="1"/>
  <c r="C19" i="1" l="1"/>
  <c r="D19" i="1" s="1"/>
  <c r="C81" i="1"/>
  <c r="F81" i="1" s="1"/>
  <c r="G81" i="1" s="1"/>
  <c r="C60" i="1"/>
  <c r="F60" i="1" s="1"/>
  <c r="G60" i="1" s="1"/>
  <c r="C85" i="1"/>
  <c r="F85" i="1" s="1"/>
  <c r="G85" i="1" s="1"/>
  <c r="C78" i="1"/>
  <c r="F78" i="1" s="1"/>
  <c r="G78" i="1" s="1"/>
  <c r="C66" i="1"/>
  <c r="F66" i="1" s="1"/>
  <c r="G66" i="1" s="1"/>
  <c r="C127" i="1"/>
  <c r="F127" i="1" s="1"/>
  <c r="G127" i="1" s="1"/>
  <c r="C75" i="1"/>
  <c r="F75" i="1" s="1"/>
  <c r="G75" i="1" s="1"/>
  <c r="C59" i="1"/>
  <c r="F59" i="1" s="1"/>
  <c r="G59" i="1" s="1"/>
  <c r="C50" i="1"/>
  <c r="F50" i="1" s="1"/>
  <c r="G50" i="1" s="1"/>
  <c r="C39" i="1"/>
  <c r="F39" i="1" s="1"/>
  <c r="G39" i="1" s="1"/>
  <c r="C82" i="1"/>
  <c r="F82" i="1" s="1"/>
  <c r="G82" i="1" s="1"/>
  <c r="C122" i="1"/>
  <c r="F122" i="1" s="1"/>
  <c r="G122" i="1" s="1"/>
  <c r="C74" i="1"/>
  <c r="F74" i="1" s="1"/>
  <c r="G74" i="1" s="1"/>
  <c r="C65" i="1"/>
  <c r="F65" i="1" s="1"/>
  <c r="G65" i="1" s="1"/>
  <c r="C40" i="1"/>
  <c r="F40" i="1" s="1"/>
  <c r="G40" i="1" s="1"/>
  <c r="C42" i="1"/>
  <c r="F42" i="1" s="1"/>
  <c r="G42" i="1" s="1"/>
  <c r="C124" i="1"/>
  <c r="F124" i="1" s="1"/>
  <c r="G124" i="1" s="1"/>
  <c r="C53" i="1"/>
  <c r="F53" i="1" s="1"/>
  <c r="G53" i="1" s="1"/>
  <c r="C107" i="1"/>
  <c r="F107" i="1" s="1"/>
  <c r="G107" i="1" s="1"/>
  <c r="C126" i="1"/>
  <c r="F126" i="1" s="1"/>
  <c r="G126" i="1" s="1"/>
  <c r="C106" i="1"/>
  <c r="F106" i="1" s="1"/>
  <c r="G106" i="1" s="1"/>
  <c r="C135" i="1"/>
  <c r="F135" i="1" s="1"/>
  <c r="G135" i="1" s="1"/>
  <c r="C64" i="1"/>
  <c r="F64" i="1" s="1"/>
  <c r="G64" i="1" s="1"/>
  <c r="C116" i="1"/>
  <c r="F116" i="1" s="1"/>
  <c r="G116" i="1" s="1"/>
  <c r="C20" i="1"/>
  <c r="D20" i="1" s="1"/>
  <c r="C130" i="1"/>
  <c r="F130" i="1" s="1"/>
  <c r="G130" i="1" s="1"/>
  <c r="C46" i="1"/>
  <c r="F46" i="1" s="1"/>
  <c r="G46" i="1" s="1"/>
  <c r="C132" i="1"/>
  <c r="F132" i="1" s="1"/>
  <c r="G132" i="1" s="1"/>
  <c r="C36" i="1"/>
  <c r="F36" i="1" s="1"/>
  <c r="C54" i="1"/>
  <c r="F54" i="1" s="1"/>
  <c r="G54" i="1" s="1"/>
  <c r="C109" i="1"/>
  <c r="F109" i="1" s="1"/>
  <c r="G109" i="1" s="1"/>
  <c r="C24" i="1"/>
  <c r="F24" i="1" s="1"/>
  <c r="C72" i="1"/>
  <c r="F72" i="1" s="1"/>
  <c r="G72" i="1" s="1"/>
  <c r="C129" i="1"/>
  <c r="F129" i="1" s="1"/>
  <c r="G129" i="1" s="1"/>
  <c r="C115" i="1"/>
  <c r="F115" i="1" s="1"/>
  <c r="G115" i="1" s="1"/>
  <c r="C91" i="1"/>
  <c r="F91" i="1" s="1"/>
  <c r="G91" i="1" s="1"/>
  <c r="C69" i="1"/>
  <c r="F69" i="1" s="1"/>
  <c r="G69" i="1" s="1"/>
  <c r="C31" i="1"/>
  <c r="D31" i="1" s="1"/>
  <c r="C55" i="1"/>
  <c r="F55" i="1" s="1"/>
  <c r="G55" i="1" s="1"/>
  <c r="C37" i="1"/>
  <c r="F37" i="1" s="1"/>
  <c r="G37" i="1" s="1"/>
  <c r="C137" i="1"/>
  <c r="F137" i="1" s="1"/>
  <c r="G137" i="1" s="1"/>
  <c r="C57" i="1"/>
  <c r="F57" i="1" s="1"/>
  <c r="G57" i="1" s="1"/>
  <c r="C68" i="1"/>
  <c r="F68" i="1" s="1"/>
  <c r="G68" i="1" s="1"/>
  <c r="C28" i="1"/>
  <c r="F28" i="1" s="1"/>
  <c r="C118" i="1"/>
  <c r="F118" i="1" s="1"/>
  <c r="G118" i="1" s="1"/>
  <c r="C27" i="1"/>
  <c r="D27" i="1" s="1"/>
  <c r="C86" i="1"/>
  <c r="F86" i="1" s="1"/>
  <c r="G86" i="1" s="1"/>
  <c r="C58" i="1"/>
  <c r="F58" i="1" s="1"/>
  <c r="G58" i="1" s="1"/>
  <c r="C33" i="1"/>
  <c r="C76" i="1"/>
  <c r="F76" i="1" s="1"/>
  <c r="G76" i="1" s="1"/>
  <c r="C117" i="1"/>
  <c r="F117" i="1" s="1"/>
  <c r="G117" i="1" s="1"/>
  <c r="C73" i="1"/>
  <c r="F73" i="1" s="1"/>
  <c r="G73" i="1" s="1"/>
  <c r="C62" i="1"/>
  <c r="F62" i="1" s="1"/>
  <c r="G62" i="1" s="1"/>
  <c r="C38" i="1"/>
  <c r="F38" i="1" s="1"/>
  <c r="G38" i="1" s="1"/>
  <c r="C110" i="1"/>
  <c r="F110" i="1" s="1"/>
  <c r="G110" i="1" s="1"/>
  <c r="C105" i="1"/>
  <c r="F105" i="1" s="1"/>
  <c r="G105" i="1" s="1"/>
  <c r="C51" i="1"/>
  <c r="F51" i="1" s="1"/>
  <c r="G51" i="1" s="1"/>
  <c r="C49" i="1"/>
  <c r="F49" i="1" s="1"/>
  <c r="G49" i="1" s="1"/>
  <c r="C102" i="1"/>
  <c r="F102" i="1" s="1"/>
  <c r="G102" i="1" s="1"/>
  <c r="C133" i="1"/>
  <c r="F133" i="1" s="1"/>
  <c r="G133" i="1" s="1"/>
  <c r="C70" i="1"/>
  <c r="F70" i="1" s="1"/>
  <c r="G70" i="1" s="1"/>
  <c r="C83" i="1"/>
  <c r="F83" i="1" s="1"/>
  <c r="G83" i="1" s="1"/>
  <c r="C67" i="1"/>
  <c r="F67" i="1" s="1"/>
  <c r="G67" i="1" s="1"/>
  <c r="C32" i="1"/>
  <c r="F32" i="1" s="1"/>
  <c r="C95" i="1"/>
  <c r="F95" i="1" s="1"/>
  <c r="G95" i="1" s="1"/>
  <c r="C90" i="1"/>
  <c r="F90" i="1" s="1"/>
  <c r="G90" i="1" s="1"/>
  <c r="C99" i="1"/>
  <c r="F99" i="1" s="1"/>
  <c r="G99" i="1" s="1"/>
  <c r="C111" i="1"/>
  <c r="F111" i="1" s="1"/>
  <c r="G111" i="1" s="1"/>
  <c r="C120" i="1"/>
  <c r="F120" i="1" s="1"/>
  <c r="G120" i="1" s="1"/>
  <c r="C94" i="1"/>
  <c r="F94" i="1" s="1"/>
  <c r="G94" i="1" s="1"/>
  <c r="C128" i="1"/>
  <c r="F128" i="1" s="1"/>
  <c r="G128" i="1" s="1"/>
  <c r="C21" i="1"/>
  <c r="F21" i="1" s="1"/>
  <c r="C56" i="1"/>
  <c r="F56" i="1" s="1"/>
  <c r="G56" i="1" s="1"/>
  <c r="C30" i="1"/>
  <c r="D30" i="1" s="1"/>
  <c r="C131" i="1"/>
  <c r="F131" i="1" s="1"/>
  <c r="G131" i="1" s="1"/>
  <c r="C41" i="1"/>
  <c r="F41" i="1" s="1"/>
  <c r="G41" i="1" s="1"/>
  <c r="C29" i="1"/>
  <c r="F29" i="1" s="1"/>
  <c r="C113" i="1"/>
  <c r="F113" i="1" s="1"/>
  <c r="G113" i="1" s="1"/>
  <c r="C23" i="1"/>
  <c r="D23" i="1" s="1"/>
  <c r="C125" i="1"/>
  <c r="F125" i="1" s="1"/>
  <c r="G125" i="1" s="1"/>
  <c r="C121" i="1"/>
  <c r="F121" i="1" s="1"/>
  <c r="G121" i="1" s="1"/>
  <c r="C48" i="1"/>
  <c r="F48" i="1" s="1"/>
  <c r="G48" i="1" s="1"/>
  <c r="C84" i="1"/>
  <c r="F84" i="1" s="1"/>
  <c r="G84" i="1" s="1"/>
  <c r="C63" i="1"/>
  <c r="F63" i="1" s="1"/>
  <c r="G63" i="1" s="1"/>
  <c r="C100" i="1"/>
  <c r="F100" i="1" s="1"/>
  <c r="G100" i="1" s="1"/>
  <c r="C52" i="1"/>
  <c r="F52" i="1" s="1"/>
  <c r="G52" i="1" s="1"/>
  <c r="C92" i="1"/>
  <c r="F92" i="1" s="1"/>
  <c r="G92" i="1" s="1"/>
  <c r="C22" i="1"/>
  <c r="D22" i="1" s="1"/>
  <c r="C123" i="1"/>
  <c r="F123" i="1" s="1"/>
  <c r="G123" i="1" s="1"/>
  <c r="C96" i="1"/>
  <c r="F96" i="1" s="1"/>
  <c r="G96" i="1" s="1"/>
  <c r="C35" i="1"/>
  <c r="D35" i="1" s="1"/>
  <c r="C77" i="1"/>
  <c r="F77" i="1" s="1"/>
  <c r="G77" i="1" s="1"/>
  <c r="C79" i="1"/>
  <c r="F79" i="1" s="1"/>
  <c r="G79" i="1" s="1"/>
  <c r="C134" i="1"/>
  <c r="F134" i="1" s="1"/>
  <c r="G134" i="1" s="1"/>
  <c r="C98" i="1"/>
  <c r="F98" i="1" s="1"/>
  <c r="G98" i="1" s="1"/>
  <c r="C136" i="1"/>
  <c r="F136" i="1" s="1"/>
  <c r="G136" i="1" s="1"/>
  <c r="C25" i="1"/>
  <c r="D25" i="1" s="1"/>
  <c r="C71" i="1"/>
  <c r="F71" i="1" s="1"/>
  <c r="G71" i="1" s="1"/>
  <c r="C103" i="1"/>
  <c r="F103" i="1" s="1"/>
  <c r="G103" i="1" s="1"/>
  <c r="C43" i="1"/>
  <c r="F43" i="1" s="1"/>
  <c r="G43" i="1" s="1"/>
  <c r="C89" i="1"/>
  <c r="F89" i="1" s="1"/>
  <c r="G89" i="1" s="1"/>
  <c r="C112" i="1"/>
  <c r="F112" i="1" s="1"/>
  <c r="G112" i="1" s="1"/>
  <c r="C104" i="1"/>
  <c r="F104" i="1" s="1"/>
  <c r="G104" i="1" s="1"/>
  <c r="C80" i="1"/>
  <c r="F80" i="1" s="1"/>
  <c r="G80" i="1" s="1"/>
  <c r="C47" i="1"/>
  <c r="F47" i="1" s="1"/>
  <c r="G47" i="1" s="1"/>
  <c r="C93" i="1"/>
  <c r="F93" i="1" s="1"/>
  <c r="G93" i="1" s="1"/>
  <c r="C87" i="1"/>
  <c r="F87" i="1" s="1"/>
  <c r="G87" i="1" s="1"/>
  <c r="C34" i="1"/>
  <c r="D34" i="1" s="1"/>
  <c r="C61" i="1"/>
  <c r="F61" i="1" s="1"/>
  <c r="G61" i="1" s="1"/>
  <c r="C97" i="1"/>
  <c r="F97" i="1" s="1"/>
  <c r="G97" i="1" s="1"/>
  <c r="C101" i="1"/>
  <c r="F101" i="1" s="1"/>
  <c r="G101" i="1" s="1"/>
  <c r="C88" i="1"/>
  <c r="F88" i="1" s="1"/>
  <c r="G88" i="1" s="1"/>
  <c r="C108" i="1"/>
  <c r="F108" i="1" s="1"/>
  <c r="G108" i="1" s="1"/>
  <c r="C119" i="1"/>
  <c r="F119" i="1" s="1"/>
  <c r="G119" i="1" s="1"/>
  <c r="C45" i="1"/>
  <c r="F45" i="1" s="1"/>
  <c r="G45" i="1" s="1"/>
  <c r="C26" i="1"/>
  <c r="F26" i="1" s="1"/>
  <c r="C44" i="1"/>
  <c r="F44" i="1" s="1"/>
  <c r="G44" i="1" s="1"/>
  <c r="C114" i="1"/>
  <c r="F114" i="1" s="1"/>
  <c r="G114" i="1" s="1"/>
  <c r="C138" i="1"/>
  <c r="F138" i="1" s="1"/>
  <c r="G138" i="1" s="1"/>
  <c r="F30" i="1" l="1"/>
  <c r="F20" i="1"/>
  <c r="F33" i="1"/>
  <c r="D33" i="1"/>
  <c r="F27" i="1"/>
  <c r="F31" i="1"/>
  <c r="G31" i="1" s="1"/>
  <c r="F23" i="1"/>
  <c r="D36" i="1"/>
  <c r="D29" i="1"/>
  <c r="G29" i="1" s="1"/>
  <c r="D21" i="1"/>
  <c r="G21" i="1" s="1"/>
  <c r="D28" i="1"/>
  <c r="D24" i="1"/>
  <c r="G24" i="1" s="1"/>
  <c r="G20" i="1"/>
  <c r="G30" i="1"/>
  <c r="G23" i="1"/>
  <c r="G28" i="1"/>
  <c r="G27" i="1"/>
  <c r="F19" i="1"/>
  <c r="G19" i="1" s="1"/>
  <c r="D32" i="1"/>
  <c r="G32" i="1" s="1"/>
  <c r="G33" i="1"/>
  <c r="F22" i="1"/>
  <c r="G22" i="1" s="1"/>
  <c r="G36" i="1"/>
  <c r="F35" i="1"/>
  <c r="G35" i="1" s="1"/>
  <c r="F34" i="1"/>
  <c r="G34" i="1" s="1"/>
  <c r="F25" i="1"/>
  <c r="G25" i="1" s="1"/>
  <c r="D26" i="1"/>
  <c r="G26" i="1" s="1"/>
  <c r="F143" i="1" l="1" a="1"/>
  <c r="F143" i="1" s="1"/>
  <c r="F144" i="1" s="1"/>
  <c r="O11" i="1" l="1"/>
  <c r="O12" i="1" s="1"/>
  <c r="O140" i="1" s="1"/>
  <c r="F146" i="1" s="1"/>
  <c r="H144" i="1"/>
  <c r="F147" i="1" l="1"/>
  <c r="O150" i="1" s="1"/>
  <c r="O149" i="1"/>
  <c r="F149" i="1"/>
  <c r="F150" i="1" s="1"/>
</calcChain>
</file>

<file path=xl/sharedStrings.xml><?xml version="1.0" encoding="utf-8"?>
<sst xmlns="http://schemas.openxmlformats.org/spreadsheetml/2006/main" count="36" uniqueCount="35">
  <si>
    <t>dla kredytu lub pożyczki spłacanych w systemie równej raty kapitałowej, z karencja spłaty kapitału</t>
  </si>
  <si>
    <t>r - stopa referencyjna wyrażona w ułamku dziesiętnym</t>
  </si>
  <si>
    <t>i - kolejny okres płatnosci</t>
  </si>
  <si>
    <t>i</t>
  </si>
  <si>
    <t>a</t>
  </si>
  <si>
    <t>b</t>
  </si>
  <si>
    <t>c</t>
  </si>
  <si>
    <t>(r-rp)/a</t>
  </si>
  <si>
    <t xml:space="preserve">przy spłatach miesiecznych </t>
  </si>
  <si>
    <t>1+d</t>
  </si>
  <si>
    <t>(1+d)do i</t>
  </si>
  <si>
    <t>d</t>
  </si>
  <si>
    <t xml:space="preserve">Stopa Bazowa KE </t>
  </si>
  <si>
    <t xml:space="preserve">Marża za ryzyko </t>
  </si>
  <si>
    <t xml:space="preserve">Nazwa pożyczkobiorcy </t>
  </si>
  <si>
    <t xml:space="preserve">probny </t>
  </si>
  <si>
    <t xml:space="preserve">Obliczenie oczekiwanej pomocy publicznej </t>
  </si>
  <si>
    <t>Kwota pożyczki</t>
  </si>
  <si>
    <t xml:space="preserve">preferencyjne oprocentowanie pozyczki </t>
  </si>
  <si>
    <t xml:space="preserve">Obliczenie zostało przygotowane w oparciu o stosowaną przez Fundusz Górnośląski SA maksymalną marżę za ryzyko. </t>
  </si>
  <si>
    <t xml:space="preserve">Marza będzie indywidualnie wyznaczana dla kazdej transakcji i może być niższa od zastosowanej w przykładzie. </t>
  </si>
  <si>
    <t>W celu oszacowania wnioskowanej kwoty pomocy należy wypełnic żółte pola zgodnie z wnioskiem o udzielenie pożyczki</t>
  </si>
  <si>
    <t xml:space="preserve">T - liczba miesięcy karencji (max 12) </t>
  </si>
  <si>
    <t>czyli</t>
  </si>
  <si>
    <t>Aktualny kurs EUR (w zł / 1 EUR)</t>
  </si>
  <si>
    <t>ile zostało de minimis</t>
  </si>
  <si>
    <t>w zł</t>
  </si>
  <si>
    <t>maksymalne umorzenie</t>
  </si>
  <si>
    <t>Przewidywana, maksymalna kwota umożenia pożyczki</t>
  </si>
  <si>
    <t>Limit pomocy de minimis do wykorzystania (w EUR)*</t>
  </si>
  <si>
    <t>Wnioskowana kwota pomocy de minimis na odsetki preferencyjne</t>
  </si>
  <si>
    <t>Łączna wnioskowana pomoc de minimis **</t>
  </si>
  <si>
    <t>* - limit pomocy de minimis jaki przysługuje wnioskodawcy uwzględniając otrzymaną dotychczas pomoc de minimis w okresie trzech lat wstecz</t>
  </si>
  <si>
    <t>** - pod warunkiem ubiegania się przez wnioskodawcę o częściowe umożenie pożyczki</t>
  </si>
  <si>
    <t>okres trwania pożyczki w miesiacach (max 84)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</si>
</sst>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0000000"/>
    <numFmt numFmtId="165" formatCode="0.000%"/>
    <numFmt numFmtId="166" formatCode="_-* #,##0.00000000000\ _z_ł_-;\-* #,##0.00000000000\ _z_ł_-;_-* &quot;-&quot;??\ _z_ł_-;_-@_-"/>
    <numFmt numFmtId="167" formatCode="_-* #,##0.00000000000\ _z_ł_-;\-* #,##0.00000000000\ _z_ł_-;_-* &quot;-&quot;???????????\ _z_ł_-;_-@_-"/>
    <numFmt numFmtId="168" formatCode="_-[$€-2]\ * #,##0.00_-;\-[$€-2]\ * #,##0.00_-;_-[$€-2]\ * &quot;-&quot;??_-;_-@_-"/>
    <numFmt numFmtId="169" formatCode="_-* #,##0.00\ [$zł-415]_-;\-* #,##0.00\ [$zł-415]_-;_-* &quot;-&quot;??\ [$zł-415]_-;_-@_-"/>
    <numFmt numFmtId="170" formatCode="_-* #,##0.00\ [$€-1]_-;\-* #,##0.00\ [$€-1]_-;_-* &quot;-&quot;??\ [$€-1]_-;_-@_-"/>
  </numFmts>
  <fonts count="19" x14ac:knownFonts="1">
    <font>
      <sz val="10"/>
      <name val="Arial CE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sz val="14"/>
      <name val="Times New Roman CE"/>
      <family val="1"/>
      <charset val="238"/>
    </font>
    <font>
      <b/>
      <sz val="10"/>
      <name val="Times New Roman CE"/>
      <charset val="238"/>
    </font>
    <font>
      <sz val="12"/>
      <name val="Times New Roman CE"/>
      <family val="1"/>
      <charset val="238"/>
    </font>
    <font>
      <sz val="16"/>
      <name val="Times New Roman CE"/>
      <family val="1"/>
      <charset val="238"/>
    </font>
    <font>
      <b/>
      <sz val="12"/>
      <name val="Times New Roman CE"/>
      <charset val="238"/>
    </font>
    <font>
      <sz val="12"/>
      <name val="Arial CE"/>
      <charset val="238"/>
    </font>
    <font>
      <b/>
      <sz val="12"/>
      <name val="Arial CE"/>
      <charset val="238"/>
    </font>
    <font>
      <b/>
      <sz val="14"/>
      <name val="Arial CE"/>
      <charset val="238"/>
    </font>
    <font>
      <b/>
      <sz val="16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12"/>
      <color rgb="FFFF0000"/>
      <name val="Times New Roman CE"/>
      <family val="1"/>
      <charset val="238"/>
    </font>
    <font>
      <sz val="14"/>
      <color theme="0"/>
      <name val="Times New Roman CE"/>
      <family val="1"/>
      <charset val="238"/>
    </font>
    <font>
      <b/>
      <sz val="12"/>
      <name val="Arial"/>
      <family val="2"/>
      <charset val="238"/>
    </font>
    <font>
      <sz val="10"/>
      <color theme="1"/>
      <name val="Times New Roman CE"/>
      <family val="1"/>
      <charset val="238"/>
    </font>
    <font>
      <sz val="14"/>
      <color theme="1"/>
      <name val="Times New Roman CE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3" fillId="3" borderId="0" xfId="0" applyFont="1" applyFill="1" applyAlignment="1" applyProtection="1"/>
    <xf numFmtId="0" fontId="0" fillId="3" borderId="0" xfId="0" applyFill="1" applyProtection="1"/>
    <xf numFmtId="0" fontId="2" fillId="3" borderId="0" xfId="0" applyFont="1" applyFill="1" applyAlignment="1" applyProtection="1"/>
    <xf numFmtId="0" fontId="2" fillId="3" borderId="0" xfId="0" applyFont="1" applyFill="1" applyProtection="1"/>
    <xf numFmtId="0" fontId="6" fillId="3" borderId="0" xfId="0" applyFont="1" applyFill="1" applyProtection="1"/>
    <xf numFmtId="0" fontId="5" fillId="3" borderId="0" xfId="0" applyFont="1" applyFill="1" applyProtection="1"/>
    <xf numFmtId="9" fontId="0" fillId="3" borderId="0" xfId="0" applyNumberFormat="1" applyFill="1" applyProtection="1"/>
    <xf numFmtId="44" fontId="0" fillId="3" borderId="0" xfId="0" applyNumberFormat="1" applyFill="1" applyProtection="1"/>
    <xf numFmtId="0" fontId="3" fillId="3" borderId="0" xfId="0" applyFont="1" applyFill="1" applyProtection="1"/>
    <xf numFmtId="170" fontId="0" fillId="3" borderId="0" xfId="0" applyNumberFormat="1" applyFill="1" applyProtection="1"/>
    <xf numFmtId="44" fontId="13" fillId="3" borderId="0" xfId="0" applyNumberFormat="1" applyFont="1" applyFill="1" applyProtection="1"/>
    <xf numFmtId="44" fontId="8" fillId="3" borderId="0" xfId="0" applyNumberFormat="1" applyFont="1" applyFill="1" applyProtection="1"/>
    <xf numFmtId="0" fontId="0" fillId="3" borderId="0" xfId="0" applyFill="1" applyAlignment="1" applyProtection="1">
      <alignment horizontal="right"/>
    </xf>
    <xf numFmtId="43" fontId="9" fillId="3" borderId="0" xfId="1" applyFont="1" applyFill="1" applyAlignment="1" applyProtection="1"/>
    <xf numFmtId="0" fontId="8" fillId="3" borderId="0" xfId="0" applyFont="1" applyFill="1" applyProtection="1"/>
    <xf numFmtId="0" fontId="9" fillId="3" borderId="0" xfId="0" applyFont="1" applyFill="1" applyProtection="1"/>
    <xf numFmtId="0" fontId="9" fillId="3" borderId="0" xfId="0" applyFont="1" applyFill="1" applyAlignment="1" applyProtection="1">
      <alignment horizontal="center"/>
    </xf>
    <xf numFmtId="4" fontId="5" fillId="3" borderId="0" xfId="0" applyNumberFormat="1" applyFont="1" applyFill="1" applyBorder="1" applyProtection="1"/>
    <xf numFmtId="0" fontId="5" fillId="3" borderId="0" xfId="0" applyFont="1" applyFill="1" applyBorder="1" applyProtection="1"/>
    <xf numFmtId="43" fontId="8" fillId="3" borderId="0" xfId="0" applyNumberFormat="1" applyFont="1" applyFill="1" applyProtection="1"/>
    <xf numFmtId="44" fontId="8" fillId="3" borderId="0" xfId="3" applyFont="1" applyFill="1" applyProtection="1"/>
    <xf numFmtId="0" fontId="8" fillId="3" borderId="0" xfId="0" applyFont="1" applyFill="1" applyBorder="1" applyProtection="1"/>
    <xf numFmtId="0" fontId="2" fillId="3" borderId="0" xfId="0" applyFont="1" applyFill="1" applyBorder="1" applyProtection="1"/>
    <xf numFmtId="0" fontId="0" fillId="3" borderId="0" xfId="0" applyFill="1" applyBorder="1" applyProtection="1"/>
    <xf numFmtId="44" fontId="0" fillId="3" borderId="0" xfId="3" applyFont="1" applyFill="1" applyProtection="1"/>
    <xf numFmtId="169" fontId="0" fillId="3" borderId="0" xfId="0" applyNumberFormat="1" applyFill="1" applyProtection="1"/>
    <xf numFmtId="0" fontId="2" fillId="3" borderId="0" xfId="0" applyFont="1" applyFill="1" applyBorder="1" applyAlignment="1" applyProtection="1"/>
    <xf numFmtId="14" fontId="2" fillId="3" borderId="0" xfId="0" applyNumberFormat="1" applyFont="1" applyFill="1" applyBorder="1" applyAlignment="1" applyProtection="1"/>
    <xf numFmtId="0" fontId="4" fillId="3" borderId="0" xfId="0" applyFont="1" applyFill="1" applyBorder="1" applyProtection="1"/>
    <xf numFmtId="2" fontId="4" fillId="3" borderId="0" xfId="0" applyNumberFormat="1" applyFont="1" applyFill="1" applyBorder="1" applyAlignment="1" applyProtection="1"/>
    <xf numFmtId="44" fontId="18" fillId="2" borderId="1" xfId="3" applyFont="1" applyFill="1" applyBorder="1" applyProtection="1">
      <protection locked="0"/>
    </xf>
    <xf numFmtId="0" fontId="18" fillId="2" borderId="1" xfId="0" applyFont="1" applyFill="1" applyBorder="1" applyAlignment="1" applyProtection="1">
      <alignment horizontal="center"/>
      <protection locked="0"/>
    </xf>
    <xf numFmtId="4" fontId="18" fillId="2" borderId="1" xfId="0" applyNumberFormat="1" applyFont="1" applyFill="1" applyBorder="1" applyAlignment="1" applyProtection="1">
      <alignment horizontal="center"/>
      <protection locked="0"/>
    </xf>
    <xf numFmtId="0" fontId="6" fillId="4" borderId="0" xfId="0" applyFont="1" applyFill="1" applyProtection="1"/>
    <xf numFmtId="0" fontId="2" fillId="4" borderId="0" xfId="0" applyFont="1" applyFill="1" applyProtection="1"/>
    <xf numFmtId="10" fontId="14" fillId="4" borderId="1" xfId="0" applyNumberFormat="1" applyFont="1" applyFill="1" applyBorder="1" applyProtection="1"/>
    <xf numFmtId="4" fontId="3" fillId="4" borderId="0" xfId="0" applyNumberFormat="1" applyFont="1" applyFill="1" applyProtection="1"/>
    <xf numFmtId="0" fontId="0" fillId="4" borderId="0" xfId="0" applyFill="1" applyProtection="1"/>
    <xf numFmtId="10" fontId="5" fillId="4" borderId="1" xfId="0" applyNumberFormat="1" applyFont="1" applyFill="1" applyBorder="1" applyProtection="1"/>
    <xf numFmtId="0" fontId="3" fillId="4" borderId="0" xfId="0" applyFont="1" applyFill="1" applyProtection="1"/>
    <xf numFmtId="165" fontId="5" fillId="4" borderId="0" xfId="2" applyNumberFormat="1" applyFont="1" applyFill="1" applyProtection="1"/>
    <xf numFmtId="0" fontId="15" fillId="4" borderId="0" xfId="0" applyFont="1" applyFill="1" applyProtection="1"/>
    <xf numFmtId="166" fontId="0" fillId="4" borderId="0" xfId="1" applyNumberFormat="1" applyFont="1" applyFill="1" applyProtection="1"/>
    <xf numFmtId="165" fontId="5" fillId="4" borderId="1" xfId="2" applyNumberFormat="1" applyFont="1" applyFill="1" applyBorder="1" applyProtection="1"/>
    <xf numFmtId="0" fontId="5" fillId="4" borderId="0" xfId="0" applyFont="1" applyFill="1" applyProtection="1"/>
    <xf numFmtId="167" fontId="0" fillId="4" borderId="0" xfId="0" applyNumberFormat="1" applyFill="1" applyProtection="1"/>
    <xf numFmtId="0" fontId="2" fillId="4" borderId="0" xfId="0" applyFont="1" applyFill="1" applyAlignment="1" applyProtection="1">
      <alignment horizontal="center"/>
    </xf>
    <xf numFmtId="164" fontId="2" fillId="4" borderId="0" xfId="0" applyNumberFormat="1" applyFont="1" applyFill="1" applyProtection="1"/>
    <xf numFmtId="4" fontId="2" fillId="4" borderId="0" xfId="0" applyNumberFormat="1" applyFont="1" applyFill="1" applyProtection="1"/>
    <xf numFmtId="2" fontId="2" fillId="4" borderId="0" xfId="0" applyNumberFormat="1" applyFont="1" applyFill="1" applyProtection="1"/>
    <xf numFmtId="4" fontId="5" fillId="4" borderId="0" xfId="0" applyNumberFormat="1" applyFont="1" applyFill="1" applyProtection="1"/>
    <xf numFmtId="2" fontId="7" fillId="4" borderId="0" xfId="0" applyNumberFormat="1" applyFont="1" applyFill="1" applyProtection="1"/>
    <xf numFmtId="44" fontId="13" fillId="4" borderId="0" xfId="0" applyNumberFormat="1" applyFont="1" applyFill="1" applyProtection="1"/>
    <xf numFmtId="44" fontId="8" fillId="4" borderId="0" xfId="0" applyNumberFormat="1" applyFont="1" applyFill="1" applyProtection="1"/>
    <xf numFmtId="44" fontId="0" fillId="4" borderId="0" xfId="0" applyNumberFormat="1" applyFill="1" applyProtection="1"/>
    <xf numFmtId="4" fontId="0" fillId="4" borderId="0" xfId="0" applyNumberFormat="1" applyFill="1" applyProtection="1"/>
    <xf numFmtId="0" fontId="12" fillId="3" borderId="0" xfId="0" applyFont="1" applyFill="1" applyAlignment="1" applyProtection="1">
      <alignment horizontal="left" wrapText="1"/>
    </xf>
    <xf numFmtId="169" fontId="9" fillId="3" borderId="2" xfId="1" applyNumberFormat="1" applyFont="1" applyFill="1" applyBorder="1" applyAlignment="1" applyProtection="1">
      <alignment horizontal="center" vertical="center"/>
    </xf>
    <xf numFmtId="169" fontId="9" fillId="3" borderId="3" xfId="1" applyNumberFormat="1" applyFont="1" applyFill="1" applyBorder="1" applyAlignment="1" applyProtection="1">
      <alignment horizontal="center" vertical="center"/>
    </xf>
    <xf numFmtId="168" fontId="16" fillId="3" borderId="0" xfId="0" applyNumberFormat="1" applyFont="1" applyFill="1" applyBorder="1" applyAlignment="1" applyProtection="1">
      <alignment horizontal="center"/>
    </xf>
    <xf numFmtId="168" fontId="16" fillId="3" borderId="0" xfId="0" applyNumberFormat="1" applyFont="1" applyFill="1" applyAlignment="1" applyProtection="1">
      <alignment horizontal="center"/>
    </xf>
    <xf numFmtId="0" fontId="2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center"/>
    </xf>
    <xf numFmtId="0" fontId="17" fillId="2" borderId="2" xfId="0" applyFont="1" applyFill="1" applyBorder="1" applyAlignment="1" applyProtection="1">
      <alignment horizontal="center"/>
    </xf>
    <xf numFmtId="0" fontId="17" fillId="2" borderId="4" xfId="0" applyFont="1" applyFill="1" applyBorder="1" applyAlignment="1" applyProtection="1">
      <alignment horizontal="center"/>
    </xf>
    <xf numFmtId="0" fontId="17" fillId="2" borderId="3" xfId="0" applyFont="1" applyFill="1" applyBorder="1" applyAlignment="1" applyProtection="1">
      <alignment horizontal="center"/>
    </xf>
    <xf numFmtId="170" fontId="9" fillId="3" borderId="2" xfId="1" applyNumberFormat="1" applyFont="1" applyFill="1" applyBorder="1" applyAlignment="1" applyProtection="1">
      <alignment horizontal="center"/>
    </xf>
    <xf numFmtId="170" fontId="9" fillId="3" borderId="3" xfId="1" applyNumberFormat="1" applyFont="1" applyFill="1" applyBorder="1" applyAlignment="1" applyProtection="1">
      <alignment horizontal="center"/>
    </xf>
    <xf numFmtId="0" fontId="9" fillId="3" borderId="0" xfId="0" applyFont="1" applyFill="1" applyAlignment="1" applyProtection="1">
      <alignment horizontal="left" wrapText="1"/>
    </xf>
    <xf numFmtId="0" fontId="9" fillId="3" borderId="5" xfId="0" applyFont="1" applyFill="1" applyBorder="1" applyAlignment="1" applyProtection="1">
      <alignment horizontal="left" wrapText="1"/>
    </xf>
    <xf numFmtId="0" fontId="10" fillId="3" borderId="0" xfId="0" applyFont="1" applyFill="1" applyAlignment="1" applyProtection="1">
      <alignment horizontal="left" vertical="center" wrapText="1"/>
    </xf>
    <xf numFmtId="0" fontId="10" fillId="3" borderId="5" xfId="0" applyFont="1" applyFill="1" applyBorder="1" applyAlignment="1" applyProtection="1">
      <alignment horizontal="left" vertical="center" wrapText="1"/>
    </xf>
    <xf numFmtId="169" fontId="11" fillId="3" borderId="2" xfId="1" applyNumberFormat="1" applyFont="1" applyFill="1" applyBorder="1" applyAlignment="1" applyProtection="1">
      <alignment horizontal="center" vertical="center"/>
    </xf>
    <xf numFmtId="169" fontId="11" fillId="3" borderId="3" xfId="1" applyNumberFormat="1" applyFont="1" applyFill="1" applyBorder="1" applyAlignment="1" applyProtection="1">
      <alignment horizontal="center" vertical="center"/>
    </xf>
  </cellXfs>
  <cellStyles count="4">
    <cellStyle name="Dziesiętny" xfId="1" builtinId="3"/>
    <cellStyle name="Normalny" xfId="0" builtinId="0"/>
    <cellStyle name="Procentowy" xfId="2" builtinId="5"/>
    <cellStyle name="Walutowy" xfId="3" builtin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61"/>
  <sheetViews>
    <sheetView tabSelected="1" workbookViewId="0">
      <selection activeCell="U142" sqref="U142"/>
    </sheetView>
  </sheetViews>
  <sheetFormatPr defaultRowHeight="12.75" x14ac:dyDescent="0.2"/>
  <cols>
    <col min="1" max="1" width="4.7109375" style="2" customWidth="1"/>
    <col min="2" max="2" width="12.7109375" style="2" customWidth="1"/>
    <col min="3" max="3" width="13.85546875" style="2" customWidth="1"/>
    <col min="4" max="4" width="10" style="2" bestFit="1" customWidth="1"/>
    <col min="5" max="5" width="19" style="2" customWidth="1"/>
    <col min="6" max="6" width="11.5703125" style="2" customWidth="1"/>
    <col min="7" max="7" width="20.7109375" style="2" customWidth="1"/>
    <col min="8" max="8" width="15" style="2" bestFit="1" customWidth="1"/>
    <col min="9" max="9" width="16.85546875" style="2" bestFit="1" customWidth="1"/>
    <col min="10" max="10" width="9.140625" style="2"/>
    <col min="11" max="11" width="0" style="2" hidden="1" customWidth="1"/>
    <col min="12" max="13" width="9.140625" style="2" hidden="1" customWidth="1"/>
    <col min="14" max="14" width="10.7109375" style="2" hidden="1" customWidth="1"/>
    <col min="15" max="15" width="19.140625" style="2" hidden="1" customWidth="1"/>
    <col min="16" max="16" width="9.140625" style="2" hidden="1" customWidth="1"/>
    <col min="17" max="17" width="0" style="2" hidden="1" customWidth="1"/>
    <col min="18" max="16384" width="9.140625" style="2"/>
  </cols>
  <sheetData>
    <row r="1" spans="1:15" ht="18.75" x14ac:dyDescent="0.3">
      <c r="A1" s="63" t="s">
        <v>16</v>
      </c>
      <c r="B1" s="63"/>
      <c r="C1" s="63"/>
      <c r="D1" s="63"/>
      <c r="E1" s="63"/>
      <c r="F1" s="63"/>
      <c r="G1" s="63"/>
      <c r="H1" s="1"/>
      <c r="I1" s="1"/>
    </row>
    <row r="2" spans="1:15" x14ac:dyDescent="0.2">
      <c r="A2" s="62" t="s">
        <v>0</v>
      </c>
      <c r="B2" s="62"/>
      <c r="C2" s="62"/>
      <c r="D2" s="62"/>
      <c r="E2" s="62"/>
      <c r="F2" s="62"/>
      <c r="G2" s="62"/>
      <c r="H2" s="3"/>
      <c r="I2" s="3"/>
    </row>
    <row r="3" spans="1:15" ht="13.5" thickBot="1" x14ac:dyDescent="0.25">
      <c r="A3" s="62" t="s">
        <v>8</v>
      </c>
      <c r="B3" s="62"/>
      <c r="C3" s="62"/>
      <c r="D3" s="62"/>
      <c r="E3" s="62"/>
      <c r="F3" s="62"/>
      <c r="G3" s="62"/>
      <c r="H3" s="3"/>
      <c r="I3" s="3"/>
    </row>
    <row r="4" spans="1:15" ht="13.5" thickBot="1" x14ac:dyDescent="0.25">
      <c r="A4" s="4" t="s">
        <v>14</v>
      </c>
      <c r="B4" s="4"/>
      <c r="C4" s="4"/>
      <c r="D4" s="4"/>
      <c r="E4" s="64" t="s">
        <v>15</v>
      </c>
      <c r="F4" s="65"/>
      <c r="G4" s="66"/>
      <c r="H4" s="4"/>
    </row>
    <row r="5" spans="1:15" ht="21" thickBot="1" x14ac:dyDescent="0.35">
      <c r="A5" s="5" t="s">
        <v>17</v>
      </c>
      <c r="B5" s="4"/>
      <c r="C5" s="4"/>
      <c r="D5" s="4"/>
      <c r="E5" s="4"/>
      <c r="F5" s="6"/>
      <c r="G5" s="31">
        <v>1500000</v>
      </c>
      <c r="N5" s="7">
        <v>0.9</v>
      </c>
      <c r="O5" s="8">
        <f>G5*N5</f>
        <v>1350000</v>
      </c>
    </row>
    <row r="6" spans="1:15" s="38" customFormat="1" ht="21" hidden="1" thickBot="1" x14ac:dyDescent="0.35">
      <c r="A6" s="34" t="s">
        <v>12</v>
      </c>
      <c r="B6" s="35"/>
      <c r="C6" s="35"/>
      <c r="D6" s="35"/>
      <c r="E6" s="35"/>
      <c r="F6" s="36">
        <v>4.7800000000000002E-2</v>
      </c>
      <c r="G6" s="37"/>
    </row>
    <row r="7" spans="1:15" s="38" customFormat="1" ht="21" hidden="1" thickBot="1" x14ac:dyDescent="0.35">
      <c r="A7" s="34" t="s">
        <v>13</v>
      </c>
      <c r="B7" s="35"/>
      <c r="C7" s="35"/>
      <c r="D7" s="35"/>
      <c r="E7" s="35"/>
      <c r="F7" s="39">
        <v>0.04</v>
      </c>
      <c r="G7" s="40"/>
    </row>
    <row r="8" spans="1:15" s="38" customFormat="1" ht="21" hidden="1" thickBot="1" x14ac:dyDescent="0.35">
      <c r="A8" s="34" t="s">
        <v>1</v>
      </c>
      <c r="B8" s="35"/>
      <c r="C8" s="35"/>
      <c r="D8" s="35"/>
      <c r="E8" s="35"/>
      <c r="F8" s="41">
        <f>F6+F7</f>
        <v>8.7800000000000003E-2</v>
      </c>
      <c r="G8" s="42">
        <f>F8/12</f>
        <v>7.3166666666666666E-3</v>
      </c>
      <c r="H8" s="43"/>
    </row>
    <row r="9" spans="1:15" s="38" customFormat="1" ht="21" hidden="1" thickBot="1" x14ac:dyDescent="0.35">
      <c r="A9" s="34" t="s">
        <v>18</v>
      </c>
      <c r="B9" s="35"/>
      <c r="C9" s="35"/>
      <c r="D9" s="35"/>
      <c r="E9" s="35"/>
      <c r="F9" s="44">
        <v>0.02</v>
      </c>
      <c r="G9" s="42">
        <f>F9/12</f>
        <v>1.6666666666666668E-3</v>
      </c>
    </row>
    <row r="10" spans="1:15" ht="21" thickBot="1" x14ac:dyDescent="0.35">
      <c r="A10" s="5"/>
      <c r="B10" s="4"/>
      <c r="C10" s="4"/>
      <c r="D10" s="4"/>
      <c r="E10" s="4"/>
      <c r="F10" s="6"/>
      <c r="G10" s="9"/>
    </row>
    <row r="11" spans="1:15" ht="21" thickBot="1" x14ac:dyDescent="0.35">
      <c r="A11" s="5" t="s">
        <v>34</v>
      </c>
      <c r="B11" s="4"/>
      <c r="C11" s="4"/>
      <c r="D11" s="4"/>
      <c r="E11" s="4"/>
      <c r="F11" s="6"/>
      <c r="G11" s="32">
        <v>84</v>
      </c>
      <c r="M11" s="2" t="s">
        <v>25</v>
      </c>
      <c r="O11" s="10">
        <f>G141-F144</f>
        <v>215968.31284475699</v>
      </c>
    </row>
    <row r="12" spans="1:15" ht="21" thickBot="1" x14ac:dyDescent="0.35">
      <c r="A12" s="5" t="s">
        <v>22</v>
      </c>
      <c r="B12" s="4"/>
      <c r="C12" s="4"/>
      <c r="D12" s="4"/>
      <c r="E12" s="4"/>
      <c r="F12" s="6"/>
      <c r="G12" s="32">
        <v>12</v>
      </c>
      <c r="N12" s="2" t="s">
        <v>26</v>
      </c>
      <c r="O12" s="8">
        <f>O11*G140</f>
        <v>922184.69584711222</v>
      </c>
    </row>
    <row r="13" spans="1:15" s="38" customFormat="1" ht="15.75" hidden="1" x14ac:dyDescent="0.25">
      <c r="A13" s="35" t="s">
        <v>2</v>
      </c>
      <c r="B13" s="35"/>
      <c r="C13" s="35"/>
      <c r="D13" s="35"/>
      <c r="E13" s="35"/>
      <c r="F13" s="45"/>
      <c r="G13" s="45"/>
    </row>
    <row r="14" spans="1:15" s="38" customFormat="1" ht="15.75" hidden="1" x14ac:dyDescent="0.25">
      <c r="A14" s="35" t="s">
        <v>9</v>
      </c>
      <c r="B14" s="35"/>
      <c r="C14" s="35"/>
      <c r="D14" s="35"/>
      <c r="E14" s="35"/>
      <c r="F14" s="45"/>
      <c r="G14" s="45">
        <f>1+G15</f>
        <v>1.0048166666666667</v>
      </c>
      <c r="H14" s="46"/>
    </row>
    <row r="15" spans="1:15" s="38" customFormat="1" ht="15.75" hidden="1" x14ac:dyDescent="0.25">
      <c r="A15" s="35" t="s">
        <v>11</v>
      </c>
      <c r="B15" s="35"/>
      <c r="C15" s="35"/>
      <c r="D15" s="35"/>
      <c r="E15" s="35"/>
      <c r="F15" s="45"/>
      <c r="G15" s="45">
        <f>(F6+1%)/12</f>
        <v>4.816666666666667E-3</v>
      </c>
      <c r="H15" s="35"/>
    </row>
    <row r="16" spans="1:15" s="38" customFormat="1" ht="15.75" hidden="1" x14ac:dyDescent="0.25">
      <c r="A16" s="35"/>
      <c r="B16" s="35"/>
      <c r="C16" s="35"/>
      <c r="D16" s="35"/>
      <c r="E16" s="35"/>
      <c r="F16" s="45"/>
      <c r="G16" s="45"/>
      <c r="H16" s="35"/>
    </row>
    <row r="17" spans="1:9" s="38" customFormat="1" ht="15.75" hidden="1" x14ac:dyDescent="0.25">
      <c r="A17" s="35"/>
      <c r="B17" s="47" t="s">
        <v>4</v>
      </c>
      <c r="C17" s="47"/>
      <c r="D17" s="47" t="s">
        <v>5</v>
      </c>
      <c r="E17" s="47" t="s">
        <v>6</v>
      </c>
      <c r="F17" s="45"/>
      <c r="G17" s="45"/>
      <c r="H17" s="35"/>
      <c r="I17" s="35"/>
    </row>
    <row r="18" spans="1:9" s="38" customFormat="1" ht="15.75" hidden="1" x14ac:dyDescent="0.25">
      <c r="A18" s="47" t="s">
        <v>3</v>
      </c>
      <c r="B18" s="47" t="s">
        <v>10</v>
      </c>
      <c r="C18" s="47" t="s">
        <v>7</v>
      </c>
      <c r="D18" s="35"/>
      <c r="E18" s="35"/>
      <c r="F18" s="45"/>
      <c r="G18" s="45"/>
      <c r="H18" s="35"/>
      <c r="I18" s="35"/>
    </row>
    <row r="19" spans="1:9" s="38" customFormat="1" ht="15.75" hidden="1" x14ac:dyDescent="0.25">
      <c r="A19" s="35">
        <v>1</v>
      </c>
      <c r="B19" s="48">
        <f>POWER($G$14,A19)</f>
        <v>1.0048166666666667</v>
      </c>
      <c r="C19" s="48">
        <f>($G$8-$G$9)/B19</f>
        <v>5.6229162865531019E-3</v>
      </c>
      <c r="D19" s="49">
        <f>$G$5*C19</f>
        <v>8434.3744298296533</v>
      </c>
      <c r="E19" s="50">
        <f>IF(A19&lt;=$G$11,1-((A19-($G$12+1))/($G$11-$G$12)),0)</f>
        <v>1.1666666666666667</v>
      </c>
      <c r="F19" s="51">
        <f t="shared" ref="F19:F35" si="0">$G$5*E19*C19</f>
        <v>9840.1035014679292</v>
      </c>
      <c r="G19" s="52">
        <f t="shared" ref="G19:G50" si="1">IF(A19&lt;=$G$12,D19,F19)</f>
        <v>8434.3744298296533</v>
      </c>
      <c r="H19" s="35"/>
    </row>
    <row r="20" spans="1:9" s="38" customFormat="1" ht="15.75" hidden="1" x14ac:dyDescent="0.25">
      <c r="A20" s="35">
        <v>2</v>
      </c>
      <c r="B20" s="48">
        <f t="shared" ref="B20:B83" si="2">POWER($G$14,A20)</f>
        <v>1.0096565336111112</v>
      </c>
      <c r="C20" s="48">
        <f t="shared" ref="C20:C33" si="3">($G$8-$G$9)/B20</f>
        <v>5.595962400988341E-3</v>
      </c>
      <c r="D20" s="49">
        <f t="shared" ref="D20:D36" si="4">$G$5*C20</f>
        <v>8393.9436014825114</v>
      </c>
      <c r="E20" s="50">
        <f t="shared" ref="E20:E50" si="5">IF(A20&lt;=$G$11,1-((A20-($G$12+1))/($G$11-$G$12)),0)</f>
        <v>1.1527777777777777</v>
      </c>
      <c r="F20" s="51">
        <f t="shared" si="0"/>
        <v>9676.3516517090047</v>
      </c>
      <c r="G20" s="52">
        <f t="shared" si="1"/>
        <v>8393.9436014825114</v>
      </c>
      <c r="H20" s="35"/>
    </row>
    <row r="21" spans="1:9" s="38" customFormat="1" ht="15.75" hidden="1" x14ac:dyDescent="0.25">
      <c r="A21" s="35">
        <v>3</v>
      </c>
      <c r="B21" s="48">
        <f t="shared" si="2"/>
        <v>1.0145197125813381</v>
      </c>
      <c r="C21" s="48">
        <f t="shared" si="3"/>
        <v>5.5691377209656891E-3</v>
      </c>
      <c r="D21" s="49">
        <f t="shared" si="4"/>
        <v>8353.7065814485341</v>
      </c>
      <c r="E21" s="50">
        <f t="shared" si="5"/>
        <v>1.1388888888888888</v>
      </c>
      <c r="F21" s="51">
        <f t="shared" si="0"/>
        <v>9513.9436066497183</v>
      </c>
      <c r="G21" s="52">
        <f t="shared" si="1"/>
        <v>8353.7065814485341</v>
      </c>
      <c r="H21" s="35"/>
    </row>
    <row r="22" spans="1:9" s="38" customFormat="1" ht="15.75" hidden="1" x14ac:dyDescent="0.25">
      <c r="A22" s="35">
        <v>4</v>
      </c>
      <c r="B22" s="48">
        <f t="shared" si="2"/>
        <v>1.0194063158636049</v>
      </c>
      <c r="C22" s="48">
        <f t="shared" si="3"/>
        <v>5.5424416271283548E-3</v>
      </c>
      <c r="D22" s="49">
        <f t="shared" si="4"/>
        <v>8313.662440692533</v>
      </c>
      <c r="E22" s="50">
        <f t="shared" si="5"/>
        <v>1.125</v>
      </c>
      <c r="F22" s="51">
        <f t="shared" si="0"/>
        <v>9352.8702457790987</v>
      </c>
      <c r="G22" s="52">
        <f t="shared" si="1"/>
        <v>8313.662440692533</v>
      </c>
      <c r="H22" s="35"/>
    </row>
    <row r="23" spans="1:9" s="38" customFormat="1" ht="15.75" hidden="1" x14ac:dyDescent="0.25">
      <c r="A23" s="35">
        <v>5</v>
      </c>
      <c r="B23" s="48">
        <f t="shared" si="2"/>
        <v>1.0243164562850147</v>
      </c>
      <c r="C23" s="48">
        <f t="shared" si="3"/>
        <v>5.5158735030884781E-3</v>
      </c>
      <c r="D23" s="49">
        <f t="shared" si="4"/>
        <v>8273.8102546327173</v>
      </c>
      <c r="E23" s="50">
        <f t="shared" si="5"/>
        <v>1.1111111111111112</v>
      </c>
      <c r="F23" s="51">
        <f t="shared" si="0"/>
        <v>9193.1225051474648</v>
      </c>
      <c r="G23" s="52">
        <f t="shared" si="1"/>
        <v>8273.8102546327173</v>
      </c>
      <c r="H23" s="35"/>
    </row>
    <row r="24" spans="1:9" s="38" customFormat="1" ht="15.75" hidden="1" x14ac:dyDescent="0.25">
      <c r="A24" s="35">
        <v>6</v>
      </c>
      <c r="B24" s="48">
        <f t="shared" si="2"/>
        <v>1.0292502472161207</v>
      </c>
      <c r="C24" s="48">
        <f t="shared" si="3"/>
        <v>5.4894327354129066E-3</v>
      </c>
      <c r="D24" s="49">
        <f t="shared" si="4"/>
        <v>8234.14910311936</v>
      </c>
      <c r="E24" s="50">
        <f t="shared" si="5"/>
        <v>1.0972222222222223</v>
      </c>
      <c r="F24" s="51">
        <f t="shared" si="0"/>
        <v>9034.6913770337433</v>
      </c>
      <c r="G24" s="52">
        <f t="shared" si="1"/>
        <v>8234.14910311936</v>
      </c>
      <c r="H24" s="35"/>
    </row>
    <row r="25" spans="1:9" s="38" customFormat="1" ht="15.75" hidden="1" x14ac:dyDescent="0.25">
      <c r="A25" s="35">
        <v>7</v>
      </c>
      <c r="B25" s="48">
        <f t="shared" si="2"/>
        <v>1.0342078025735453</v>
      </c>
      <c r="C25" s="48">
        <f t="shared" si="3"/>
        <v>5.463118713609022E-3</v>
      </c>
      <c r="D25" s="49">
        <f t="shared" si="4"/>
        <v>8194.6780704135326</v>
      </c>
      <c r="E25" s="50">
        <f t="shared" si="5"/>
        <v>1.0833333333333333</v>
      </c>
      <c r="F25" s="51">
        <f t="shared" si="0"/>
        <v>8877.5679096146614</v>
      </c>
      <c r="G25" s="52">
        <f t="shared" si="1"/>
        <v>8194.6780704135326</v>
      </c>
      <c r="H25" s="35"/>
    </row>
    <row r="26" spans="1:9" s="38" customFormat="1" ht="15.75" hidden="1" x14ac:dyDescent="0.25">
      <c r="A26" s="35">
        <v>8</v>
      </c>
      <c r="B26" s="48">
        <f t="shared" si="2"/>
        <v>1.0391892368226077</v>
      </c>
      <c r="C26" s="48">
        <f t="shared" si="3"/>
        <v>5.436930830110656E-3</v>
      </c>
      <c r="D26" s="49">
        <f t="shared" si="4"/>
        <v>8155.3962451659836</v>
      </c>
      <c r="E26" s="50">
        <f t="shared" si="5"/>
        <v>1.0694444444444444</v>
      </c>
      <c r="F26" s="51">
        <f t="shared" si="0"/>
        <v>8721.7432066358451</v>
      </c>
      <c r="G26" s="52">
        <f t="shared" si="1"/>
        <v>8155.3962451659836</v>
      </c>
      <c r="H26" s="35"/>
    </row>
    <row r="27" spans="1:9" s="38" customFormat="1" ht="15.75" hidden="1" x14ac:dyDescent="0.25">
      <c r="A27" s="35">
        <v>9</v>
      </c>
      <c r="B27" s="48">
        <f t="shared" si="2"/>
        <v>1.0441946649799698</v>
      </c>
      <c r="C27" s="48">
        <f t="shared" si="3"/>
        <v>5.4108684802640517E-3</v>
      </c>
      <c r="D27" s="49">
        <f t="shared" si="4"/>
        <v>8116.3027203960773</v>
      </c>
      <c r="E27" s="50">
        <f t="shared" si="5"/>
        <v>1.0555555555555556</v>
      </c>
      <c r="F27" s="51">
        <f t="shared" si="0"/>
        <v>8567.2084270847481</v>
      </c>
      <c r="G27" s="52">
        <f t="shared" si="1"/>
        <v>8116.3027203960773</v>
      </c>
      <c r="H27" s="35"/>
    </row>
    <row r="28" spans="1:9" s="38" customFormat="1" ht="15.75" hidden="1" x14ac:dyDescent="0.25">
      <c r="A28" s="35">
        <v>10</v>
      </c>
      <c r="B28" s="48">
        <f t="shared" si="2"/>
        <v>1.0492242026162901</v>
      </c>
      <c r="C28" s="48">
        <f t="shared" si="3"/>
        <v>5.3849310623139057E-3</v>
      </c>
      <c r="D28" s="49">
        <f t="shared" si="4"/>
        <v>8077.3965934708585</v>
      </c>
      <c r="E28" s="50">
        <f t="shared" si="5"/>
        <v>1.0416666666666667</v>
      </c>
      <c r="F28" s="51">
        <f t="shared" si="0"/>
        <v>8413.9547848654784</v>
      </c>
      <c r="G28" s="52">
        <f t="shared" si="1"/>
        <v>8077.3965934708585</v>
      </c>
      <c r="H28" s="35"/>
    </row>
    <row r="29" spans="1:9" s="38" customFormat="1" ht="15.75" hidden="1" x14ac:dyDescent="0.25">
      <c r="A29" s="35">
        <v>11</v>
      </c>
      <c r="B29" s="48">
        <f t="shared" si="2"/>
        <v>1.0542779658588921</v>
      </c>
      <c r="C29" s="48">
        <f t="shared" si="3"/>
        <v>5.3591179773894784E-3</v>
      </c>
      <c r="D29" s="49">
        <f t="shared" si="4"/>
        <v>8038.6769660842174</v>
      </c>
      <c r="E29" s="50">
        <f t="shared" si="5"/>
        <v>1.0277777777777777</v>
      </c>
      <c r="F29" s="51">
        <f t="shared" si="0"/>
        <v>8261.9735484754456</v>
      </c>
      <c r="G29" s="52">
        <f t="shared" si="1"/>
        <v>8038.6769660842174</v>
      </c>
      <c r="H29" s="35"/>
    </row>
    <row r="30" spans="1:9" s="38" customFormat="1" ht="15.75" hidden="1" x14ac:dyDescent="0.25">
      <c r="A30" s="35">
        <v>12</v>
      </c>
      <c r="B30" s="48">
        <f t="shared" si="2"/>
        <v>1.0593560713944457</v>
      </c>
      <c r="C30" s="48">
        <f t="shared" si="3"/>
        <v>5.3334286294907654E-3</v>
      </c>
      <c r="D30" s="49">
        <f t="shared" si="4"/>
        <v>8000.1429442361477</v>
      </c>
      <c r="E30" s="50">
        <f t="shared" si="5"/>
        <v>1.0138888888888888</v>
      </c>
      <c r="F30" s="51">
        <f t="shared" si="0"/>
        <v>8111.256040683872</v>
      </c>
      <c r="G30" s="52">
        <f t="shared" si="1"/>
        <v>8000.1429442361477</v>
      </c>
      <c r="H30" s="35"/>
    </row>
    <row r="31" spans="1:9" s="38" customFormat="1" ht="15.75" hidden="1" x14ac:dyDescent="0.25">
      <c r="A31" s="35">
        <v>13</v>
      </c>
      <c r="B31" s="48">
        <f t="shared" si="2"/>
        <v>1.0644586364716624</v>
      </c>
      <c r="C31" s="48">
        <f t="shared" si="3"/>
        <v>5.3078624254747284E-3</v>
      </c>
      <c r="D31" s="49">
        <f t="shared" si="4"/>
        <v>7961.7936382120924</v>
      </c>
      <c r="E31" s="50">
        <f t="shared" si="5"/>
        <v>1</v>
      </c>
      <c r="F31" s="51">
        <f t="shared" si="0"/>
        <v>7961.7936382120924</v>
      </c>
      <c r="G31" s="52">
        <f t="shared" si="1"/>
        <v>7961.7936382120924</v>
      </c>
      <c r="H31" s="35"/>
    </row>
    <row r="32" spans="1:9" s="38" customFormat="1" ht="15.75" hidden="1" x14ac:dyDescent="0.25">
      <c r="A32" s="35">
        <v>14</v>
      </c>
      <c r="B32" s="48">
        <f t="shared" si="2"/>
        <v>1.0695857789040006</v>
      </c>
      <c r="C32" s="48">
        <f t="shared" si="3"/>
        <v>5.2824187750416121E-3</v>
      </c>
      <c r="D32" s="49">
        <f t="shared" si="4"/>
        <v>7923.6281625624179</v>
      </c>
      <c r="E32" s="50">
        <f t="shared" si="5"/>
        <v>0.98611111111111116</v>
      </c>
      <c r="F32" s="51">
        <f t="shared" si="0"/>
        <v>7813.5777714157184</v>
      </c>
      <c r="G32" s="52">
        <f t="shared" si="1"/>
        <v>7813.5777714157184</v>
      </c>
      <c r="H32" s="35"/>
    </row>
    <row r="33" spans="1:8" s="38" customFormat="1" ht="15.75" hidden="1" x14ac:dyDescent="0.25">
      <c r="A33" s="35">
        <v>15</v>
      </c>
      <c r="B33" s="48">
        <f t="shared" si="2"/>
        <v>1.0747376170723886</v>
      </c>
      <c r="C33" s="48">
        <f t="shared" si="3"/>
        <v>5.2570970907213025E-3</v>
      </c>
      <c r="D33" s="49">
        <f>$G$5*C33</f>
        <v>7885.6456360819539</v>
      </c>
      <c r="E33" s="50">
        <f t="shared" si="5"/>
        <v>0.97222222222222221</v>
      </c>
      <c r="F33" s="51">
        <f t="shared" si="0"/>
        <v>7666.5999239685661</v>
      </c>
      <c r="G33" s="52">
        <f t="shared" si="1"/>
        <v>7666.5999239685661</v>
      </c>
      <c r="H33" s="35"/>
    </row>
    <row r="34" spans="1:8" s="38" customFormat="1" ht="15.75" hidden="1" x14ac:dyDescent="0.25">
      <c r="A34" s="35">
        <v>16</v>
      </c>
      <c r="B34" s="48">
        <f t="shared" si="2"/>
        <v>1.0799142699279538</v>
      </c>
      <c r="C34" s="48">
        <f t="shared" ref="C34:C83" si="6">($G$8-$G$9)/B34</f>
        <v>5.2318967878597789E-3</v>
      </c>
      <c r="D34" s="49">
        <f t="shared" si="4"/>
        <v>7847.8451817896685</v>
      </c>
      <c r="E34" s="50">
        <f t="shared" si="5"/>
        <v>0.95833333333333337</v>
      </c>
      <c r="F34" s="51">
        <f t="shared" si="0"/>
        <v>7520.8516325484325</v>
      </c>
      <c r="G34" s="52">
        <f t="shared" si="1"/>
        <v>7520.8516325484325</v>
      </c>
      <c r="H34" s="35"/>
    </row>
    <row r="35" spans="1:8" s="38" customFormat="1" ht="15.75" hidden="1" x14ac:dyDescent="0.25">
      <c r="A35" s="35">
        <v>17</v>
      </c>
      <c r="B35" s="48">
        <f t="shared" si="2"/>
        <v>1.0851158569947734</v>
      </c>
      <c r="C35" s="48">
        <f t="shared" si="6"/>
        <v>5.206817284605595E-3</v>
      </c>
      <c r="D35" s="49">
        <f t="shared" si="4"/>
        <v>7810.2259269083925</v>
      </c>
      <c r="E35" s="50">
        <f t="shared" si="5"/>
        <v>0.94444444444444442</v>
      </c>
      <c r="F35" s="51">
        <f t="shared" si="0"/>
        <v>7376.3244865245933</v>
      </c>
      <c r="G35" s="52">
        <f t="shared" si="1"/>
        <v>7376.3244865245933</v>
      </c>
      <c r="H35" s="35"/>
    </row>
    <row r="36" spans="1:8" s="38" customFormat="1" ht="15.75" hidden="1" x14ac:dyDescent="0.25">
      <c r="A36" s="35">
        <v>18</v>
      </c>
      <c r="B36" s="48">
        <f t="shared" si="2"/>
        <v>1.0903424983726318</v>
      </c>
      <c r="C36" s="48">
        <f t="shared" si="6"/>
        <v>5.1818580018964597E-3</v>
      </c>
      <c r="D36" s="49">
        <f t="shared" si="4"/>
        <v>7772.7870028446896</v>
      </c>
      <c r="E36" s="50">
        <f t="shared" si="5"/>
        <v>0.93055555555555558</v>
      </c>
      <c r="F36" s="51">
        <f t="shared" ref="F36:F46" si="7">$G$5*E36*C36</f>
        <v>7233.0101276471414</v>
      </c>
      <c r="G36" s="52">
        <f t="shared" si="1"/>
        <v>7233.0101276471414</v>
      </c>
      <c r="H36" s="35"/>
    </row>
    <row r="37" spans="1:8" s="38" customFormat="1" ht="15.75" hidden="1" x14ac:dyDescent="0.25">
      <c r="A37" s="35">
        <v>19</v>
      </c>
      <c r="B37" s="48">
        <f t="shared" si="2"/>
        <v>1.0955943147397933</v>
      </c>
      <c r="C37" s="48">
        <f t="shared" si="6"/>
        <v>5.1570183634458621E-3</v>
      </c>
      <c r="D37" s="35"/>
      <c r="E37" s="50">
        <f t="shared" si="5"/>
        <v>0.91666666666666663</v>
      </c>
      <c r="F37" s="51">
        <f t="shared" si="7"/>
        <v>7090.9002497380607</v>
      </c>
      <c r="G37" s="52">
        <f t="shared" si="1"/>
        <v>7090.9002497380607</v>
      </c>
      <c r="H37" s="35"/>
    </row>
    <row r="38" spans="1:8" s="38" customFormat="1" ht="15.75" hidden="1" x14ac:dyDescent="0.25">
      <c r="A38" s="35">
        <v>20</v>
      </c>
      <c r="B38" s="48">
        <f t="shared" si="2"/>
        <v>1.10087142735579</v>
      </c>
      <c r="C38" s="48">
        <f t="shared" si="6"/>
        <v>5.1322977957297634E-3</v>
      </c>
      <c r="D38" s="35"/>
      <c r="E38" s="50">
        <f t="shared" si="5"/>
        <v>0.90277777777777779</v>
      </c>
      <c r="F38" s="51">
        <f t="shared" si="7"/>
        <v>6949.9865983840546</v>
      </c>
      <c r="G38" s="52">
        <f t="shared" si="1"/>
        <v>6949.9865983840546</v>
      </c>
      <c r="H38" s="35"/>
    </row>
    <row r="39" spans="1:8" s="38" customFormat="1" ht="15.75" hidden="1" x14ac:dyDescent="0.25">
      <c r="A39" s="35">
        <v>21</v>
      </c>
      <c r="B39" s="48">
        <f t="shared" si="2"/>
        <v>1.1061739580642205</v>
      </c>
      <c r="C39" s="48">
        <f t="shared" si="6"/>
        <v>5.1076957279733584E-3</v>
      </c>
      <c r="D39" s="35"/>
      <c r="E39" s="50">
        <f t="shared" si="5"/>
        <v>0.88888888888888884</v>
      </c>
      <c r="F39" s="51">
        <f t="shared" si="7"/>
        <v>6810.2609706311441</v>
      </c>
      <c r="G39" s="52">
        <f t="shared" si="1"/>
        <v>6810.2609706311441</v>
      </c>
      <c r="H39" s="35"/>
    </row>
    <row r="40" spans="1:8" s="38" customFormat="1" ht="15.75" hidden="1" x14ac:dyDescent="0.25">
      <c r="A40" s="35">
        <v>22</v>
      </c>
      <c r="B40" s="48">
        <f t="shared" si="2"/>
        <v>1.1115020292955629</v>
      </c>
      <c r="C40" s="48">
        <f t="shared" si="6"/>
        <v>5.0832115921378949E-3</v>
      </c>
      <c r="D40" s="35"/>
      <c r="E40" s="50">
        <f t="shared" si="5"/>
        <v>0.875</v>
      </c>
      <c r="F40" s="51">
        <f t="shared" si="7"/>
        <v>6671.7152146809867</v>
      </c>
      <c r="G40" s="52">
        <f t="shared" si="1"/>
        <v>6671.7152146809867</v>
      </c>
      <c r="H40" s="35"/>
    </row>
    <row r="41" spans="1:8" s="38" customFormat="1" ht="15.75" hidden="1" x14ac:dyDescent="0.25">
      <c r="A41" s="35">
        <v>23</v>
      </c>
      <c r="B41" s="48">
        <f t="shared" si="2"/>
        <v>1.1168557640700036</v>
      </c>
      <c r="C41" s="48">
        <f t="shared" si="6"/>
        <v>5.0588448229075553E-3</v>
      </c>
      <c r="D41" s="35"/>
      <c r="E41" s="50">
        <f t="shared" si="5"/>
        <v>0.86111111111111116</v>
      </c>
      <c r="F41" s="51">
        <f t="shared" si="7"/>
        <v>6534.3412295889257</v>
      </c>
      <c r="G41" s="52">
        <f t="shared" si="1"/>
        <v>6534.3412295889257</v>
      </c>
      <c r="H41" s="35"/>
    </row>
    <row r="42" spans="1:8" s="38" customFormat="1" ht="15.75" hidden="1" x14ac:dyDescent="0.25">
      <c r="A42" s="35">
        <v>24</v>
      </c>
      <c r="B42" s="48">
        <f t="shared" si="2"/>
        <v>1.1222352860002738</v>
      </c>
      <c r="C42" s="48">
        <f t="shared" si="6"/>
        <v>5.034594857676415E-3</v>
      </c>
      <c r="D42" s="35"/>
      <c r="E42" s="50">
        <f t="shared" si="5"/>
        <v>0.84722222222222221</v>
      </c>
      <c r="F42" s="51">
        <f t="shared" si="7"/>
        <v>6398.1309649637769</v>
      </c>
      <c r="G42" s="52">
        <f t="shared" si="1"/>
        <v>6398.1309649637769</v>
      </c>
      <c r="H42" s="35"/>
    </row>
    <row r="43" spans="1:8" s="38" customFormat="1" ht="15.75" hidden="1" x14ac:dyDescent="0.25">
      <c r="A43" s="35">
        <v>25</v>
      </c>
      <c r="B43" s="48">
        <f t="shared" si="2"/>
        <v>1.1276407192945084</v>
      </c>
      <c r="C43" s="48">
        <f t="shared" si="6"/>
        <v>5.0104611365354365E-3</v>
      </c>
      <c r="D43" s="35"/>
      <c r="E43" s="50">
        <f t="shared" si="5"/>
        <v>0.83333333333333337</v>
      </c>
      <c r="F43" s="51">
        <f t="shared" si="7"/>
        <v>6263.0764206692957</v>
      </c>
      <c r="G43" s="52">
        <f t="shared" si="1"/>
        <v>6263.0764206692957</v>
      </c>
      <c r="H43" s="35"/>
    </row>
    <row r="44" spans="1:8" s="38" customFormat="1" ht="15.75" hidden="1" x14ac:dyDescent="0.25">
      <c r="A44" s="35">
        <v>26</v>
      </c>
      <c r="B44" s="48">
        <f t="shared" si="2"/>
        <v>1.1330721887591104</v>
      </c>
      <c r="C44" s="48">
        <f t="shared" si="6"/>
        <v>4.9864431022595525E-3</v>
      </c>
      <c r="D44" s="35"/>
      <c r="E44" s="50">
        <f t="shared" si="5"/>
        <v>0.81944444444444442</v>
      </c>
      <c r="F44" s="51">
        <f t="shared" si="7"/>
        <v>6129.1696465273671</v>
      </c>
      <c r="G44" s="52">
        <f t="shared" si="1"/>
        <v>6129.1696465273671</v>
      </c>
      <c r="H44" s="35"/>
    </row>
    <row r="45" spans="1:8" s="38" customFormat="1" ht="15.75" hidden="1" x14ac:dyDescent="0.25">
      <c r="A45" s="35">
        <v>27</v>
      </c>
      <c r="B45" s="48">
        <f t="shared" si="2"/>
        <v>1.1385298198016336</v>
      </c>
      <c r="C45" s="48">
        <f t="shared" si="6"/>
        <v>4.9625402002947986E-3</v>
      </c>
      <c r="D45" s="35"/>
      <c r="E45" s="50">
        <f t="shared" si="5"/>
        <v>0.80555555555555558</v>
      </c>
      <c r="F45" s="51">
        <f t="shared" si="7"/>
        <v>5996.4027420228813</v>
      </c>
      <c r="G45" s="52">
        <f t="shared" si="1"/>
        <v>5996.4027420228813</v>
      </c>
      <c r="H45" s="35"/>
    </row>
    <row r="46" spans="1:8" s="38" customFormat="1" ht="15.75" hidden="1" x14ac:dyDescent="0.25">
      <c r="A46" s="35">
        <v>28</v>
      </c>
      <c r="B46" s="48">
        <f t="shared" si="2"/>
        <v>1.1440137384336782</v>
      </c>
      <c r="C46" s="48">
        <f t="shared" si="6"/>
        <v>4.9387518787455077E-3</v>
      </c>
      <c r="D46" s="35"/>
      <c r="E46" s="50">
        <f t="shared" si="5"/>
        <v>0.79166666666666663</v>
      </c>
      <c r="F46" s="51">
        <f t="shared" si="7"/>
        <v>5864.7678560102904</v>
      </c>
      <c r="G46" s="52">
        <f t="shared" si="1"/>
        <v>5864.7678560102904</v>
      </c>
      <c r="H46" s="35"/>
    </row>
    <row r="47" spans="1:8" s="38" customFormat="1" ht="15.75" hidden="1" x14ac:dyDescent="0.25">
      <c r="A47" s="35">
        <v>29</v>
      </c>
      <c r="B47" s="48">
        <f t="shared" si="2"/>
        <v>1.1495240712738004</v>
      </c>
      <c r="C47" s="48">
        <f t="shared" si="6"/>
        <v>4.9150775883615655E-3</v>
      </c>
      <c r="D47" s="35"/>
      <c r="E47" s="50">
        <f t="shared" si="5"/>
        <v>0.77777777777777779</v>
      </c>
      <c r="F47" s="51">
        <f t="shared" ref="F47:F67" si="8">$G$5*E47*C47</f>
        <v>5734.2571864218271</v>
      </c>
      <c r="G47" s="52">
        <f t="shared" si="1"/>
        <v>5734.2571864218271</v>
      </c>
      <c r="H47" s="35"/>
    </row>
    <row r="48" spans="1:8" s="38" customFormat="1" ht="15.75" hidden="1" x14ac:dyDescent="0.25">
      <c r="A48" s="35">
        <v>30</v>
      </c>
      <c r="B48" s="48">
        <f t="shared" si="2"/>
        <v>1.1550609455504357</v>
      </c>
      <c r="C48" s="48">
        <f t="shared" si="6"/>
        <v>4.8915167825257346E-3</v>
      </c>
      <c r="D48" s="35"/>
      <c r="E48" s="50">
        <f t="shared" si="5"/>
        <v>0.76388888888888884</v>
      </c>
      <c r="F48" s="51">
        <f t="shared" si="8"/>
        <v>5604.8629799774035</v>
      </c>
      <c r="G48" s="52">
        <f t="shared" si="1"/>
        <v>5604.8629799774035</v>
      </c>
      <c r="H48" s="35"/>
    </row>
    <row r="49" spans="1:8" s="38" customFormat="1" ht="15.75" hidden="1" x14ac:dyDescent="0.25">
      <c r="A49" s="35">
        <v>31</v>
      </c>
      <c r="B49" s="48">
        <f t="shared" si="2"/>
        <v>1.1606244891048374</v>
      </c>
      <c r="C49" s="48">
        <f t="shared" si="6"/>
        <v>4.8680689172410216E-3</v>
      </c>
      <c r="D49" s="35"/>
      <c r="E49" s="50">
        <f t="shared" si="5"/>
        <v>0.75</v>
      </c>
      <c r="F49" s="51">
        <f t="shared" si="8"/>
        <v>5476.5775318961496</v>
      </c>
      <c r="G49" s="52">
        <f t="shared" si="1"/>
        <v>5476.5775318961496</v>
      </c>
      <c r="H49" s="35"/>
    </row>
    <row r="50" spans="1:8" s="38" customFormat="1" ht="15.75" hidden="1" x14ac:dyDescent="0.25">
      <c r="A50" s="35">
        <v>32</v>
      </c>
      <c r="B50" s="48">
        <f t="shared" si="2"/>
        <v>1.1662148303940254</v>
      </c>
      <c r="C50" s="48">
        <f t="shared" si="6"/>
        <v>4.8447334511181371E-3</v>
      </c>
      <c r="D50" s="35"/>
      <c r="E50" s="50">
        <f t="shared" si="5"/>
        <v>0.73611111111111116</v>
      </c>
      <c r="F50" s="51">
        <f t="shared" si="8"/>
        <v>5349.3931856096106</v>
      </c>
      <c r="G50" s="52">
        <f t="shared" si="1"/>
        <v>5349.3931856096106</v>
      </c>
      <c r="H50" s="35"/>
    </row>
    <row r="51" spans="1:8" s="38" customFormat="1" ht="15.75" hidden="1" x14ac:dyDescent="0.25">
      <c r="A51" s="35">
        <v>33</v>
      </c>
      <c r="B51" s="48">
        <f t="shared" si="2"/>
        <v>1.1718320984937567</v>
      </c>
      <c r="C51" s="48">
        <f t="shared" si="6"/>
        <v>4.8215098453629722E-3</v>
      </c>
      <c r="D51" s="35"/>
      <c r="E51" s="50">
        <f t="shared" ref="E51:E82" si="9">IF(A51&lt;=$G$11,1-((A51-($G$12+1))/($G$11-$G$12)),0)</f>
        <v>0.72222222222222221</v>
      </c>
      <c r="F51" s="51">
        <f t="shared" si="8"/>
        <v>5223.3023324765527</v>
      </c>
      <c r="G51" s="52">
        <f t="shared" ref="G51:G82" si="10">IF(A51&lt;=$G$12,D51,F51)</f>
        <v>5223.3023324765527</v>
      </c>
      <c r="H51" s="35"/>
    </row>
    <row r="52" spans="1:8" s="38" customFormat="1" ht="15.75" hidden="1" x14ac:dyDescent="0.25">
      <c r="A52" s="35">
        <v>34</v>
      </c>
      <c r="B52" s="48">
        <f t="shared" si="2"/>
        <v>1.1774764231015016</v>
      </c>
      <c r="C52" s="48">
        <f t="shared" si="6"/>
        <v>4.7983975637641745E-3</v>
      </c>
      <c r="D52" s="35"/>
      <c r="E52" s="50">
        <f t="shared" si="9"/>
        <v>0.70833333333333326</v>
      </c>
      <c r="F52" s="51">
        <f t="shared" si="8"/>
        <v>5098.2974114994358</v>
      </c>
      <c r="G52" s="52">
        <f t="shared" si="10"/>
        <v>5098.2974114994358</v>
      </c>
      <c r="H52" s="35"/>
    </row>
    <row r="53" spans="1:8" s="38" customFormat="1" ht="15.75" hidden="1" x14ac:dyDescent="0.25">
      <c r="A53" s="35">
        <v>35</v>
      </c>
      <c r="B53" s="48">
        <f t="shared" si="2"/>
        <v>1.1831479345394407</v>
      </c>
      <c r="C53" s="48">
        <f t="shared" si="6"/>
        <v>4.775396072680761E-3</v>
      </c>
      <c r="D53" s="35"/>
      <c r="E53" s="50">
        <f t="shared" si="9"/>
        <v>0.69444444444444442</v>
      </c>
      <c r="F53" s="51">
        <f t="shared" si="8"/>
        <v>4974.3709090424591</v>
      </c>
      <c r="G53" s="52">
        <f t="shared" si="10"/>
        <v>4974.3709090424591</v>
      </c>
      <c r="H53" s="35"/>
    </row>
    <row r="54" spans="1:8" s="38" customFormat="1" ht="15.75" hidden="1" x14ac:dyDescent="0.25">
      <c r="A54" s="35">
        <v>36</v>
      </c>
      <c r="B54" s="48">
        <f t="shared" si="2"/>
        <v>1.1888467637574722</v>
      </c>
      <c r="C54" s="48">
        <f t="shared" si="6"/>
        <v>4.7525048410298016E-3</v>
      </c>
      <c r="D54" s="35"/>
      <c r="E54" s="50">
        <f t="shared" si="9"/>
        <v>0.68055555555555558</v>
      </c>
      <c r="F54" s="51">
        <f t="shared" si="8"/>
        <v>4851.5153585512562</v>
      </c>
      <c r="G54" s="52">
        <f t="shared" si="10"/>
        <v>4851.5153585512562</v>
      </c>
      <c r="H54" s="35"/>
    </row>
    <row r="55" spans="1:8" s="38" customFormat="1" ht="15.75" hidden="1" x14ac:dyDescent="0.25">
      <c r="A55" s="35">
        <v>37</v>
      </c>
      <c r="B55" s="48">
        <f t="shared" si="2"/>
        <v>1.1945730423362375</v>
      </c>
      <c r="C55" s="48">
        <f t="shared" si="6"/>
        <v>4.7297233402741473E-3</v>
      </c>
      <c r="D55" s="35"/>
      <c r="E55" s="50">
        <f t="shared" si="9"/>
        <v>0.66666666666666674</v>
      </c>
      <c r="F55" s="51">
        <f t="shared" si="8"/>
        <v>4729.7233402741476</v>
      </c>
      <c r="G55" s="52">
        <f t="shared" si="10"/>
        <v>4729.7233402741476</v>
      </c>
      <c r="H55" s="35"/>
    </row>
    <row r="56" spans="1:8" s="38" customFormat="1" ht="15.75" hidden="1" x14ac:dyDescent="0.25">
      <c r="A56" s="35">
        <v>38</v>
      </c>
      <c r="B56" s="48">
        <f t="shared" si="2"/>
        <v>1.2003269024901568</v>
      </c>
      <c r="C56" s="48">
        <f t="shared" si="6"/>
        <v>4.7070510444102388E-3</v>
      </c>
      <c r="D56" s="35"/>
      <c r="E56" s="50">
        <f t="shared" si="9"/>
        <v>0.65277777777777779</v>
      </c>
      <c r="F56" s="51">
        <f t="shared" si="8"/>
        <v>4608.9874809850253</v>
      </c>
      <c r="G56" s="52">
        <f t="shared" si="10"/>
        <v>4608.9874809850253</v>
      </c>
      <c r="H56" s="35"/>
    </row>
    <row r="57" spans="1:8" s="38" customFormat="1" ht="15.75" hidden="1" x14ac:dyDescent="0.25">
      <c r="A57" s="35">
        <v>39</v>
      </c>
      <c r="B57" s="48">
        <f t="shared" si="2"/>
        <v>1.2061084770704849</v>
      </c>
      <c r="C57" s="48">
        <f t="shared" si="6"/>
        <v>4.6844874299559495E-3</v>
      </c>
      <c r="D57" s="35"/>
      <c r="E57" s="50">
        <f t="shared" si="9"/>
        <v>0.63888888888888884</v>
      </c>
      <c r="F57" s="51">
        <f t="shared" si="8"/>
        <v>4489.300453707785</v>
      </c>
      <c r="G57" s="52">
        <f t="shared" si="10"/>
        <v>4489.300453707785</v>
      </c>
      <c r="H57" s="35"/>
    </row>
    <row r="58" spans="1:8" s="38" customFormat="1" ht="15.75" hidden="1" x14ac:dyDescent="0.25">
      <c r="A58" s="35">
        <v>40</v>
      </c>
      <c r="B58" s="48">
        <f t="shared" si="2"/>
        <v>1.2119178995683741</v>
      </c>
      <c r="C58" s="48">
        <f t="shared" si="6"/>
        <v>4.6620319759385128E-3</v>
      </c>
      <c r="D58" s="35"/>
      <c r="E58" s="50">
        <f t="shared" si="9"/>
        <v>0.625</v>
      </c>
      <c r="F58" s="51">
        <f t="shared" si="8"/>
        <v>4370.6549774423556</v>
      </c>
      <c r="G58" s="52">
        <f t="shared" si="10"/>
        <v>4370.6549774423556</v>
      </c>
      <c r="H58" s="35"/>
    </row>
    <row r="59" spans="1:8" s="38" customFormat="1" ht="15.75" hidden="1" x14ac:dyDescent="0.25">
      <c r="A59" s="35">
        <v>41</v>
      </c>
      <c r="B59" s="48">
        <f t="shared" si="2"/>
        <v>1.2177553041179616</v>
      </c>
      <c r="C59" s="48">
        <f t="shared" si="6"/>
        <v>4.6396841638824795E-3</v>
      </c>
      <c r="D59" s="35"/>
      <c r="E59" s="50">
        <f t="shared" si="9"/>
        <v>0.61111111111111116</v>
      </c>
      <c r="F59" s="51">
        <f t="shared" si="8"/>
        <v>4253.0438168922728</v>
      </c>
      <c r="G59" s="52">
        <f t="shared" si="10"/>
        <v>4253.0438168922728</v>
      </c>
      <c r="H59" s="35"/>
    </row>
    <row r="60" spans="1:8" s="38" customFormat="1" ht="15.75" hidden="1" x14ac:dyDescent="0.25">
      <c r="A60" s="35">
        <v>42</v>
      </c>
      <c r="B60" s="48">
        <f t="shared" si="2"/>
        <v>1.2236208254994634</v>
      </c>
      <c r="C60" s="48">
        <f t="shared" si="6"/>
        <v>4.6174434777977533E-3</v>
      </c>
      <c r="D60" s="35"/>
      <c r="E60" s="50">
        <f t="shared" si="9"/>
        <v>0.59722222222222221</v>
      </c>
      <c r="F60" s="51">
        <f t="shared" si="8"/>
        <v>4136.4597821938205</v>
      </c>
      <c r="G60" s="52">
        <f t="shared" si="10"/>
        <v>4136.4597821938205</v>
      </c>
      <c r="H60" s="35"/>
    </row>
    <row r="61" spans="1:8" s="38" customFormat="1" ht="15.75" hidden="1" x14ac:dyDescent="0.25">
      <c r="A61" s="35">
        <v>43</v>
      </c>
      <c r="B61" s="48">
        <f t="shared" si="2"/>
        <v>1.229514599142286</v>
      </c>
      <c r="C61" s="48">
        <f t="shared" si="6"/>
        <v>4.5953094041676782E-3</v>
      </c>
      <c r="D61" s="35"/>
      <c r="E61" s="50">
        <f t="shared" si="9"/>
        <v>0.58333333333333326</v>
      </c>
      <c r="F61" s="51">
        <f t="shared" si="8"/>
        <v>4020.895728646718</v>
      </c>
      <c r="G61" s="52">
        <f t="shared" si="10"/>
        <v>4020.895728646718</v>
      </c>
    </row>
    <row r="62" spans="1:8" s="38" customFormat="1" ht="15.75" hidden="1" x14ac:dyDescent="0.25">
      <c r="A62" s="35">
        <v>44</v>
      </c>
      <c r="B62" s="48">
        <f t="shared" si="2"/>
        <v>1.2354367611281545</v>
      </c>
      <c r="C62" s="48">
        <f t="shared" si="6"/>
        <v>4.5732814319371816E-3</v>
      </c>
      <c r="D62" s="35"/>
      <c r="E62" s="50">
        <f t="shared" si="9"/>
        <v>0.56944444444444442</v>
      </c>
      <c r="F62" s="51">
        <f t="shared" si="8"/>
        <v>3906.3445564463423</v>
      </c>
      <c r="G62" s="52">
        <f t="shared" si="10"/>
        <v>3906.3445564463423</v>
      </c>
    </row>
    <row r="63" spans="1:8" s="38" customFormat="1" ht="15.75" hidden="1" x14ac:dyDescent="0.25">
      <c r="A63" s="35">
        <v>45</v>
      </c>
      <c r="B63" s="48">
        <f t="shared" si="2"/>
        <v>1.2413874481942553</v>
      </c>
      <c r="C63" s="48">
        <f t="shared" si="6"/>
        <v>4.5513590525009676E-3</v>
      </c>
      <c r="D63" s="35"/>
      <c r="E63" s="50">
        <f t="shared" si="9"/>
        <v>0.55555555555555558</v>
      </c>
      <c r="F63" s="51">
        <f t="shared" si="8"/>
        <v>3792.7992104174732</v>
      </c>
      <c r="G63" s="52">
        <f t="shared" si="10"/>
        <v>3792.7992104174732</v>
      </c>
    </row>
    <row r="64" spans="1:8" s="38" customFormat="1" ht="15.75" hidden="1" x14ac:dyDescent="0.25">
      <c r="A64" s="35">
        <v>46</v>
      </c>
      <c r="B64" s="48">
        <f t="shared" si="2"/>
        <v>1.2473667977363907</v>
      </c>
      <c r="C64" s="48">
        <f t="shared" si="6"/>
        <v>4.5295417596917867E-3</v>
      </c>
      <c r="D64" s="35"/>
      <c r="E64" s="50">
        <f t="shared" si="9"/>
        <v>0.54166666666666674</v>
      </c>
      <c r="F64" s="51">
        <f t="shared" si="8"/>
        <v>3680.2526797495771</v>
      </c>
      <c r="G64" s="52">
        <f t="shared" si="10"/>
        <v>3680.2526797495771</v>
      </c>
    </row>
    <row r="65" spans="1:7" s="38" customFormat="1" ht="15.75" hidden="1" x14ac:dyDescent="0.25">
      <c r="A65" s="35">
        <v>47</v>
      </c>
      <c r="B65" s="48">
        <f t="shared" si="2"/>
        <v>1.2533749478121547</v>
      </c>
      <c r="C65" s="48">
        <f t="shared" si="6"/>
        <v>4.5078290497687322E-3</v>
      </c>
      <c r="D65" s="35"/>
      <c r="E65" s="50">
        <f t="shared" si="9"/>
        <v>0.52777777777777779</v>
      </c>
      <c r="F65" s="51">
        <f t="shared" si="8"/>
        <v>3568.6979977335795</v>
      </c>
      <c r="G65" s="52">
        <f t="shared" si="10"/>
        <v>3568.6979977335795</v>
      </c>
    </row>
    <row r="66" spans="1:7" s="38" customFormat="1" ht="15.75" hidden="1" x14ac:dyDescent="0.25">
      <c r="A66" s="35">
        <v>48</v>
      </c>
      <c r="B66" s="48">
        <f t="shared" si="2"/>
        <v>1.2594120371441164</v>
      </c>
      <c r="C66" s="48">
        <f t="shared" si="6"/>
        <v>4.4862204214056291E-3</v>
      </c>
      <c r="D66" s="35"/>
      <c r="E66" s="50">
        <f t="shared" si="9"/>
        <v>0.51388888888888884</v>
      </c>
      <c r="F66" s="51">
        <f t="shared" si="8"/>
        <v>3458.128241500172</v>
      </c>
      <c r="G66" s="52">
        <f t="shared" si="10"/>
        <v>3458.128241500172</v>
      </c>
    </row>
    <row r="67" spans="1:7" s="38" customFormat="1" ht="15.75" hidden="1" x14ac:dyDescent="0.25">
      <c r="A67" s="35">
        <v>49</v>
      </c>
      <c r="B67" s="48">
        <f t="shared" si="2"/>
        <v>1.2654782051230271</v>
      </c>
      <c r="C67" s="48">
        <f t="shared" si="6"/>
        <v>4.46471537567944E-3</v>
      </c>
      <c r="D67" s="35"/>
      <c r="E67" s="50">
        <f t="shared" si="9"/>
        <v>0.5</v>
      </c>
      <c r="F67" s="51">
        <f t="shared" si="8"/>
        <v>3348.5365317595802</v>
      </c>
      <c r="G67" s="52">
        <f t="shared" si="10"/>
        <v>3348.5365317595802</v>
      </c>
    </row>
    <row r="68" spans="1:7" s="38" customFormat="1" ht="15.75" hidden="1" x14ac:dyDescent="0.25">
      <c r="A68" s="35">
        <v>50</v>
      </c>
      <c r="B68" s="48">
        <f t="shared" si="2"/>
        <v>1.2715735918110367</v>
      </c>
      <c r="C68" s="48">
        <f t="shared" si="6"/>
        <v>4.443313416058756E-3</v>
      </c>
      <c r="D68" s="35"/>
      <c r="E68" s="50">
        <f t="shared" si="9"/>
        <v>0.48611111111111116</v>
      </c>
      <c r="F68" s="51">
        <f t="shared" ref="F68:F78" si="11">$G$5*E68*C68</f>
        <v>3239.9160325428434</v>
      </c>
      <c r="G68" s="52">
        <f t="shared" si="10"/>
        <v>3239.9160325428434</v>
      </c>
    </row>
    <row r="69" spans="1:7" s="38" customFormat="1" ht="15.75" hidden="1" x14ac:dyDescent="0.25">
      <c r="A69" s="35">
        <v>51</v>
      </c>
      <c r="B69" s="48">
        <f t="shared" si="2"/>
        <v>1.2776983379449265</v>
      </c>
      <c r="C69" s="48">
        <f t="shared" si="6"/>
        <v>4.4220140483923328E-3</v>
      </c>
      <c r="D69" s="35"/>
      <c r="E69" s="50">
        <f t="shared" si="9"/>
        <v>0.47222222222222221</v>
      </c>
      <c r="F69" s="51">
        <f t="shared" si="11"/>
        <v>3132.2599509445695</v>
      </c>
      <c r="G69" s="52">
        <f t="shared" si="10"/>
        <v>3132.2599509445695</v>
      </c>
    </row>
    <row r="70" spans="1:7" s="38" customFormat="1" ht="15.75" hidden="1" x14ac:dyDescent="0.25">
      <c r="A70" s="35">
        <v>52</v>
      </c>
      <c r="B70" s="48">
        <f t="shared" si="2"/>
        <v>1.2838525849393614</v>
      </c>
      <c r="C70" s="48">
        <f t="shared" si="6"/>
        <v>4.4008167808976756E-3</v>
      </c>
      <c r="D70" s="35"/>
      <c r="E70" s="50">
        <f t="shared" si="9"/>
        <v>0.45833333333333337</v>
      </c>
      <c r="F70" s="51">
        <f t="shared" si="11"/>
        <v>3025.561536867152</v>
      </c>
      <c r="G70" s="52">
        <f t="shared" si="10"/>
        <v>3025.561536867152</v>
      </c>
    </row>
    <row r="71" spans="1:7" s="38" customFormat="1" ht="15.75" hidden="1" x14ac:dyDescent="0.25">
      <c r="A71" s="35">
        <v>53</v>
      </c>
      <c r="B71" s="48">
        <f t="shared" si="2"/>
        <v>1.2900364748901527</v>
      </c>
      <c r="C71" s="48">
        <f t="shared" si="6"/>
        <v>4.3797211241496875E-3</v>
      </c>
      <c r="D71" s="35"/>
      <c r="E71" s="50">
        <f t="shared" si="9"/>
        <v>0.44444444444444442</v>
      </c>
      <c r="F71" s="51">
        <f t="shared" si="11"/>
        <v>2919.8140827664583</v>
      </c>
      <c r="G71" s="52">
        <f t="shared" si="10"/>
        <v>2919.8140827664583</v>
      </c>
    </row>
    <row r="72" spans="1:7" s="38" customFormat="1" ht="15.75" hidden="1" x14ac:dyDescent="0.25">
      <c r="A72" s="35">
        <v>54</v>
      </c>
      <c r="B72" s="48">
        <f t="shared" si="2"/>
        <v>1.2962501505775399</v>
      </c>
      <c r="C72" s="48">
        <f t="shared" si="6"/>
        <v>4.3587265910693717E-3</v>
      </c>
      <c r="D72" s="35"/>
      <c r="E72" s="50">
        <f t="shared" si="9"/>
        <v>0.43055555555555558</v>
      </c>
      <c r="F72" s="51">
        <f t="shared" si="11"/>
        <v>2815.0109233989692</v>
      </c>
      <c r="G72" s="52">
        <f t="shared" si="10"/>
        <v>2815.0109233989692</v>
      </c>
    </row>
    <row r="73" spans="1:7" s="38" customFormat="1" ht="15.75" hidden="1" x14ac:dyDescent="0.25">
      <c r="A73" s="35">
        <v>55</v>
      </c>
      <c r="B73" s="48">
        <f t="shared" si="2"/>
        <v>1.3024937554694889</v>
      </c>
      <c r="C73" s="48">
        <f t="shared" si="6"/>
        <v>4.3378326969125743E-3</v>
      </c>
      <c r="D73" s="35"/>
      <c r="E73" s="50">
        <f t="shared" si="9"/>
        <v>0.41666666666666663</v>
      </c>
      <c r="F73" s="51">
        <f t="shared" si="11"/>
        <v>2711.145435570359</v>
      </c>
      <c r="G73" s="52">
        <f t="shared" si="10"/>
        <v>2711.145435570359</v>
      </c>
    </row>
    <row r="74" spans="1:7" s="38" customFormat="1" ht="15.75" hidden="1" x14ac:dyDescent="0.25">
      <c r="A74" s="35">
        <v>56</v>
      </c>
      <c r="B74" s="48">
        <f t="shared" si="2"/>
        <v>1.3087674337249999</v>
      </c>
      <c r="C74" s="48">
        <f t="shared" si="6"/>
        <v>4.3170389592588117E-3</v>
      </c>
      <c r="D74" s="35"/>
      <c r="E74" s="50">
        <f t="shared" si="9"/>
        <v>0.40277777777777779</v>
      </c>
      <c r="F74" s="51">
        <f t="shared" si="11"/>
        <v>2608.2110378855318</v>
      </c>
      <c r="G74" s="52">
        <f t="shared" si="10"/>
        <v>2608.2110378855318</v>
      </c>
    </row>
    <row r="75" spans="1:7" s="38" customFormat="1" ht="15.75" hidden="1" x14ac:dyDescent="0.25">
      <c r="A75" s="35">
        <v>57</v>
      </c>
      <c r="B75" s="48">
        <f t="shared" si="2"/>
        <v>1.3150713301974419</v>
      </c>
      <c r="C75" s="48">
        <f t="shared" si="6"/>
        <v>4.2963448980001115E-3</v>
      </c>
      <c r="D75" s="35"/>
      <c r="E75" s="50">
        <f t="shared" si="9"/>
        <v>0.38888888888888884</v>
      </c>
      <c r="F75" s="51">
        <f t="shared" si="11"/>
        <v>2506.2011905000645</v>
      </c>
      <c r="G75" s="52">
        <f t="shared" si="10"/>
        <v>2506.2011905000645</v>
      </c>
    </row>
    <row r="76" spans="1:7" s="38" customFormat="1" ht="15.75" hidden="1" x14ac:dyDescent="0.25">
      <c r="A76" s="35">
        <v>58</v>
      </c>
      <c r="B76" s="48">
        <f t="shared" si="2"/>
        <v>1.3214055904378932</v>
      </c>
      <c r="C76" s="48">
        <f t="shared" si="6"/>
        <v>4.2757500353299378E-3</v>
      </c>
      <c r="D76" s="35"/>
      <c r="E76" s="50">
        <f t="shared" si="9"/>
        <v>0.375</v>
      </c>
      <c r="F76" s="51">
        <f t="shared" si="11"/>
        <v>2405.10939487309</v>
      </c>
      <c r="G76" s="52">
        <f t="shared" si="10"/>
        <v>2405.10939487309</v>
      </c>
    </row>
    <row r="77" spans="1:7" s="38" customFormat="1" ht="15.75" hidden="1" x14ac:dyDescent="0.25">
      <c r="A77" s="35">
        <v>59</v>
      </c>
      <c r="B77" s="48">
        <f t="shared" si="2"/>
        <v>1.3277703606985025</v>
      </c>
      <c r="C77" s="48">
        <f t="shared" si="6"/>
        <v>4.2552538957321608E-3</v>
      </c>
      <c r="D77" s="35"/>
      <c r="E77" s="50">
        <f t="shared" si="9"/>
        <v>0.36111111111111116</v>
      </c>
      <c r="F77" s="51">
        <f t="shared" si="11"/>
        <v>2304.9291935215874</v>
      </c>
      <c r="G77" s="52">
        <f t="shared" si="10"/>
        <v>2304.9291935215874</v>
      </c>
    </row>
    <row r="78" spans="1:7" s="38" customFormat="1" ht="15.75" hidden="1" x14ac:dyDescent="0.25">
      <c r="A78" s="35">
        <v>60</v>
      </c>
      <c r="B78" s="48">
        <f t="shared" si="2"/>
        <v>1.3341657879358668</v>
      </c>
      <c r="C78" s="48">
        <f t="shared" si="6"/>
        <v>4.234856005970072E-3</v>
      </c>
      <c r="D78" s="35"/>
      <c r="E78" s="50">
        <f t="shared" si="9"/>
        <v>0.34722222222222221</v>
      </c>
      <c r="F78" s="51">
        <f t="shared" si="11"/>
        <v>2205.654169776079</v>
      </c>
      <c r="G78" s="52">
        <f t="shared" si="10"/>
        <v>2205.654169776079</v>
      </c>
    </row>
    <row r="79" spans="1:7" s="38" customFormat="1" ht="15.75" hidden="1" x14ac:dyDescent="0.25">
      <c r="A79" s="35">
        <v>61</v>
      </c>
      <c r="B79" s="48">
        <f t="shared" si="2"/>
        <v>1.3405920198144248</v>
      </c>
      <c r="C79" s="48">
        <f t="shared" si="6"/>
        <v>4.2145558950754582E-3</v>
      </c>
      <c r="D79" s="35"/>
      <c r="E79" s="50">
        <f t="shared" si="9"/>
        <v>0.33333333333333337</v>
      </c>
      <c r="F79" s="51">
        <f t="shared" ref="F79:F88" si="12">$G$5*E79*C79</f>
        <v>2107.2779475377292</v>
      </c>
      <c r="G79" s="52">
        <f t="shared" si="10"/>
        <v>2107.2779475377292</v>
      </c>
    </row>
    <row r="80" spans="1:7" s="38" customFormat="1" ht="15.75" hidden="1" x14ac:dyDescent="0.25">
      <c r="A80" s="35">
        <v>62</v>
      </c>
      <c r="B80" s="48">
        <f t="shared" si="2"/>
        <v>1.3470492047098639</v>
      </c>
      <c r="C80" s="48">
        <f t="shared" si="6"/>
        <v>4.1943530943377326E-3</v>
      </c>
      <c r="D80" s="35"/>
      <c r="E80" s="50">
        <f t="shared" si="9"/>
        <v>0.31944444444444442</v>
      </c>
      <c r="F80" s="51">
        <f t="shared" si="12"/>
        <v>2009.7941910368299</v>
      </c>
      <c r="G80" s="52">
        <f t="shared" si="10"/>
        <v>2009.7941910368299</v>
      </c>
    </row>
    <row r="81" spans="1:7" s="38" customFormat="1" ht="15.75" hidden="1" x14ac:dyDescent="0.25">
      <c r="A81" s="35">
        <v>63</v>
      </c>
      <c r="B81" s="48">
        <f t="shared" si="2"/>
        <v>1.3535374917125502</v>
      </c>
      <c r="C81" s="48">
        <f t="shared" si="6"/>
        <v>4.174247137293103E-3</v>
      </c>
      <c r="D81" s="35"/>
      <c r="E81" s="50">
        <f t="shared" si="9"/>
        <v>0.30555555555555558</v>
      </c>
      <c r="F81" s="51">
        <f t="shared" si="12"/>
        <v>1913.1966045926724</v>
      </c>
      <c r="G81" s="52">
        <f t="shared" si="10"/>
        <v>1913.1966045926724</v>
      </c>
    </row>
    <row r="82" spans="1:7" s="38" customFormat="1" ht="15.75" hidden="1" x14ac:dyDescent="0.25">
      <c r="A82" s="35">
        <v>64</v>
      </c>
      <c r="B82" s="48">
        <f t="shared" si="2"/>
        <v>1.3600570306309654</v>
      </c>
      <c r="C82" s="48">
        <f t="shared" si="6"/>
        <v>4.1542375597138151E-3</v>
      </c>
      <c r="D82" s="35"/>
      <c r="E82" s="50">
        <f t="shared" si="9"/>
        <v>0.29166666666666663</v>
      </c>
      <c r="F82" s="51">
        <f t="shared" si="12"/>
        <v>1817.4789323747939</v>
      </c>
      <c r="G82" s="52">
        <f t="shared" si="10"/>
        <v>1817.4789323747939</v>
      </c>
    </row>
    <row r="83" spans="1:7" s="38" customFormat="1" ht="15.75" hidden="1" x14ac:dyDescent="0.25">
      <c r="A83" s="35">
        <v>65</v>
      </c>
      <c r="B83" s="48">
        <f t="shared" si="2"/>
        <v>1.3666079719951711</v>
      </c>
      <c r="C83" s="48">
        <f t="shared" si="6"/>
        <v>4.1343238995974214E-3</v>
      </c>
      <c r="D83" s="35"/>
      <c r="E83" s="50">
        <f t="shared" ref="E83:E102" si="13">IF(A83&lt;=$G$11,1-((A83-($G$12+1))/($G$11-$G$12)),0)</f>
        <v>0.27777777777777779</v>
      </c>
      <c r="F83" s="51">
        <f t="shared" si="12"/>
        <v>1722.6349581655923</v>
      </c>
      <c r="G83" s="52">
        <f t="shared" ref="G83:G102" si="14">IF(A83&lt;=$G$12,D83,F83)</f>
        <v>1722.6349581655923</v>
      </c>
    </row>
    <row r="84" spans="1:7" s="38" customFormat="1" ht="15.75" hidden="1" x14ac:dyDescent="0.25">
      <c r="A84" s="35">
        <v>66</v>
      </c>
      <c r="B84" s="48">
        <f t="shared" ref="B84:B102" si="15">POWER($G$14,A84)</f>
        <v>1.3731904670602815</v>
      </c>
      <c r="C84" s="48">
        <f t="shared" ref="C84:C102" si="16">($G$8-$G$9)/B84</f>
        <v>4.1145056971561185E-3</v>
      </c>
      <c r="D84" s="35"/>
      <c r="E84" s="50">
        <f t="shared" si="13"/>
        <v>0.26388888888888884</v>
      </c>
      <c r="F84" s="51">
        <f t="shared" si="12"/>
        <v>1628.6585051242967</v>
      </c>
      <c r="G84" s="52">
        <f t="shared" si="14"/>
        <v>1628.6585051242967</v>
      </c>
    </row>
    <row r="85" spans="1:7" s="38" customFormat="1" ht="15.75" hidden="1" x14ac:dyDescent="0.25">
      <c r="A85" s="35">
        <v>67</v>
      </c>
      <c r="B85" s="48">
        <f t="shared" si="15"/>
        <v>1.3798046678099551</v>
      </c>
      <c r="C85" s="48">
        <f t="shared" si="16"/>
        <v>4.0947824948061361E-3</v>
      </c>
      <c r="D85" s="35"/>
      <c r="E85" s="50">
        <f t="shared" si="13"/>
        <v>0.25</v>
      </c>
      <c r="F85" s="51">
        <f t="shared" si="12"/>
        <v>1535.5434355523009</v>
      </c>
      <c r="G85" s="52">
        <f t="shared" si="14"/>
        <v>1535.5434355523009</v>
      </c>
    </row>
    <row r="86" spans="1:7" s="38" customFormat="1" ht="15.75" hidden="1" x14ac:dyDescent="0.25">
      <c r="A86" s="35">
        <v>68</v>
      </c>
      <c r="B86" s="48">
        <f t="shared" si="15"/>
        <v>1.3864507269599065</v>
      </c>
      <c r="C86" s="48">
        <f t="shared" si="16"/>
        <v>4.0751538371571619E-3</v>
      </c>
      <c r="D86" s="35"/>
      <c r="E86" s="50">
        <f t="shared" si="13"/>
        <v>0.23611111111111116</v>
      </c>
      <c r="F86" s="51">
        <f t="shared" si="12"/>
        <v>1443.2836506598285</v>
      </c>
      <c r="G86" s="52">
        <f t="shared" si="14"/>
        <v>1443.2836506598285</v>
      </c>
    </row>
    <row r="87" spans="1:7" s="38" customFormat="1" ht="15.75" hidden="1" x14ac:dyDescent="0.25">
      <c r="A87" s="35">
        <v>69</v>
      </c>
      <c r="B87" s="48">
        <f t="shared" si="15"/>
        <v>1.3931287979614302</v>
      </c>
      <c r="C87" s="48">
        <f t="shared" si="16"/>
        <v>4.0556192710018363E-3</v>
      </c>
      <c r="D87" s="35"/>
      <c r="E87" s="50">
        <f t="shared" si="13"/>
        <v>0.22222222222222221</v>
      </c>
      <c r="F87" s="51">
        <f t="shared" si="12"/>
        <v>1351.8730903339454</v>
      </c>
      <c r="G87" s="52">
        <f t="shared" si="14"/>
        <v>1351.8730903339454</v>
      </c>
    </row>
    <row r="88" spans="1:7" s="38" customFormat="1" ht="15.75" hidden="1" x14ac:dyDescent="0.25">
      <c r="A88" s="35">
        <v>70</v>
      </c>
      <c r="B88" s="48">
        <f t="shared" si="15"/>
        <v>1.3998390350049441</v>
      </c>
      <c r="C88" s="48">
        <f t="shared" si="16"/>
        <v>4.0361783453052831E-3</v>
      </c>
      <c r="D88" s="35"/>
      <c r="E88" s="50">
        <f t="shared" si="13"/>
        <v>0.20833333333333337</v>
      </c>
      <c r="F88" s="51">
        <f t="shared" si="12"/>
        <v>1261.3057329079013</v>
      </c>
      <c r="G88" s="52">
        <f t="shared" si="14"/>
        <v>1261.3057329079013</v>
      </c>
    </row>
    <row r="89" spans="1:7" s="38" customFormat="1" ht="15.75" hidden="1" x14ac:dyDescent="0.25">
      <c r="A89" s="35">
        <v>71</v>
      </c>
      <c r="B89" s="48">
        <f t="shared" si="15"/>
        <v>1.4065815930235517</v>
      </c>
      <c r="C89" s="48">
        <f t="shared" si="16"/>
        <v>4.0168306111946946E-3</v>
      </c>
      <c r="D89" s="35"/>
      <c r="E89" s="50">
        <f t="shared" si="13"/>
        <v>0.19444444444444442</v>
      </c>
      <c r="F89" s="51">
        <f t="shared" ref="F89:F100" si="17">$G$5*E89*C89</f>
        <v>1171.5755949317856</v>
      </c>
      <c r="G89" s="52">
        <f t="shared" si="14"/>
        <v>1171.5755949317856</v>
      </c>
    </row>
    <row r="90" spans="1:7" s="38" customFormat="1" ht="15.75" hidden="1" x14ac:dyDescent="0.25">
      <c r="A90" s="35">
        <v>72</v>
      </c>
      <c r="B90" s="48">
        <f t="shared" si="15"/>
        <v>1.413356627696615</v>
      </c>
      <c r="C90" s="48">
        <f t="shared" si="16"/>
        <v>3.9975756219489738E-3</v>
      </c>
      <c r="D90" s="35"/>
      <c r="E90" s="50">
        <f t="shared" si="13"/>
        <v>0.18055555555555558</v>
      </c>
      <c r="F90" s="51">
        <f t="shared" si="17"/>
        <v>1082.6767309445138</v>
      </c>
      <c r="G90" s="52">
        <f t="shared" si="14"/>
        <v>1082.6767309445138</v>
      </c>
    </row>
    <row r="91" spans="1:7" s="38" customFormat="1" ht="15.75" hidden="1" x14ac:dyDescent="0.25">
      <c r="A91" s="35">
        <v>73</v>
      </c>
      <c r="B91" s="48">
        <f t="shared" si="15"/>
        <v>1.4201642954533535</v>
      </c>
      <c r="C91" s="48">
        <f t="shared" si="16"/>
        <v>3.9784129329884128E-3</v>
      </c>
      <c r="D91" s="35"/>
      <c r="E91" s="50">
        <f t="shared" si="13"/>
        <v>0.16666666666666663</v>
      </c>
      <c r="F91" s="51">
        <f t="shared" si="17"/>
        <v>994.60323324710293</v>
      </c>
      <c r="G91" s="52">
        <f t="shared" si="14"/>
        <v>994.60323324710293</v>
      </c>
    </row>
    <row r="92" spans="1:7" s="38" customFormat="1" ht="15.75" hidden="1" x14ac:dyDescent="0.25">
      <c r="A92" s="35">
        <v>74</v>
      </c>
      <c r="B92" s="48">
        <f t="shared" si="15"/>
        <v>1.4270047534764538</v>
      </c>
      <c r="C92" s="48">
        <f t="shared" si="16"/>
        <v>3.9593421018644329E-3</v>
      </c>
      <c r="D92" s="35"/>
      <c r="E92" s="50">
        <f t="shared" si="13"/>
        <v>0.15277777777777779</v>
      </c>
      <c r="F92" s="51">
        <f t="shared" si="17"/>
        <v>907.34923167726595</v>
      </c>
      <c r="G92" s="52">
        <f t="shared" si="14"/>
        <v>907.34923167726595</v>
      </c>
    </row>
    <row r="93" spans="1:7" s="38" customFormat="1" ht="15.75" hidden="1" x14ac:dyDescent="0.25">
      <c r="A93" s="35">
        <v>75</v>
      </c>
      <c r="B93" s="48">
        <f t="shared" si="15"/>
        <v>1.4338781597056991</v>
      </c>
      <c r="C93" s="48">
        <f t="shared" si="16"/>
        <v>3.940362688249364E-3</v>
      </c>
      <c r="D93" s="35"/>
      <c r="E93" s="50">
        <f t="shared" si="13"/>
        <v>0.13888888888888884</v>
      </c>
      <c r="F93" s="51">
        <f t="shared" si="17"/>
        <v>820.90889338528382</v>
      </c>
      <c r="G93" s="52">
        <f t="shared" si="14"/>
        <v>820.90889338528382</v>
      </c>
    </row>
    <row r="94" spans="1:7" s="38" customFormat="1" ht="15.75" hidden="1" x14ac:dyDescent="0.25">
      <c r="A94" s="35">
        <v>76</v>
      </c>
      <c r="B94" s="48">
        <f t="shared" si="15"/>
        <v>1.4407846728416147</v>
      </c>
      <c r="C94" s="48">
        <f t="shared" si="16"/>
        <v>3.9214742539262866E-3</v>
      </c>
      <c r="D94" s="35"/>
      <c r="E94" s="50">
        <f t="shared" si="13"/>
        <v>0.125</v>
      </c>
      <c r="F94" s="51">
        <f t="shared" si="17"/>
        <v>735.27642261117876</v>
      </c>
      <c r="G94" s="52">
        <f t="shared" si="14"/>
        <v>735.27642261117876</v>
      </c>
    </row>
    <row r="95" spans="1:7" s="38" customFormat="1" ht="15.75" hidden="1" x14ac:dyDescent="0.25">
      <c r="A95" s="35">
        <v>77</v>
      </c>
      <c r="B95" s="48">
        <f t="shared" si="15"/>
        <v>1.4477244523491355</v>
      </c>
      <c r="C95" s="48">
        <f t="shared" si="16"/>
        <v>3.9026763627789006E-3</v>
      </c>
      <c r="D95" s="35"/>
      <c r="E95" s="50">
        <f t="shared" si="13"/>
        <v>0.11111111111111116</v>
      </c>
      <c r="F95" s="51">
        <f t="shared" si="17"/>
        <v>650.44606046315039</v>
      </c>
      <c r="G95" s="52">
        <f t="shared" si="14"/>
        <v>650.44606046315039</v>
      </c>
    </row>
    <row r="96" spans="1:7" s="38" customFormat="1" ht="15.75" hidden="1" x14ac:dyDescent="0.25">
      <c r="A96" s="35">
        <v>78</v>
      </c>
      <c r="B96" s="48">
        <f t="shared" si="15"/>
        <v>1.4546976584612834</v>
      </c>
      <c r="C96" s="48">
        <f t="shared" si="16"/>
        <v>3.8839685807814709E-3</v>
      </c>
      <c r="D96" s="35"/>
      <c r="E96" s="50">
        <f t="shared" si="13"/>
        <v>9.722222222222221E-2</v>
      </c>
      <c r="F96" s="51">
        <f t="shared" si="17"/>
        <v>566.41208469729781</v>
      </c>
      <c r="G96" s="52">
        <f t="shared" si="14"/>
        <v>566.41208469729781</v>
      </c>
    </row>
    <row r="97" spans="1:7" s="38" customFormat="1" ht="15.75" hidden="1" x14ac:dyDescent="0.25">
      <c r="A97" s="35">
        <v>79</v>
      </c>
      <c r="B97" s="48">
        <f t="shared" si="15"/>
        <v>1.4617044521828724</v>
      </c>
      <c r="C97" s="48">
        <f t="shared" si="16"/>
        <v>3.8653504759887901E-3</v>
      </c>
      <c r="D97" s="35"/>
      <c r="E97" s="50">
        <f t="shared" si="13"/>
        <v>8.333333333333337E-2</v>
      </c>
      <c r="F97" s="51">
        <f t="shared" si="17"/>
        <v>483.16880949859899</v>
      </c>
      <c r="G97" s="52">
        <f t="shared" si="14"/>
        <v>483.16880949859899</v>
      </c>
    </row>
    <row r="98" spans="1:7" s="38" customFormat="1" ht="15.75" hidden="1" x14ac:dyDescent="0.25">
      <c r="A98" s="35">
        <v>80</v>
      </c>
      <c r="B98" s="48">
        <f t="shared" si="15"/>
        <v>1.4687449952942198</v>
      </c>
      <c r="C98" s="48">
        <f t="shared" si="16"/>
        <v>3.8468216185262227E-3</v>
      </c>
      <c r="D98" s="35"/>
      <c r="E98" s="50">
        <f t="shared" si="13"/>
        <v>6.944444444444442E-2</v>
      </c>
      <c r="F98" s="51">
        <f t="shared" si="17"/>
        <v>400.71058526314806</v>
      </c>
      <c r="G98" s="52">
        <f t="shared" si="14"/>
        <v>400.71058526314806</v>
      </c>
    </row>
    <row r="99" spans="1:7" s="38" customFormat="1" ht="15.75" hidden="1" x14ac:dyDescent="0.25">
      <c r="A99" s="35">
        <v>81</v>
      </c>
      <c r="B99" s="48">
        <f t="shared" si="15"/>
        <v>1.4758194503548867</v>
      </c>
      <c r="C99" s="48">
        <f t="shared" si="16"/>
        <v>3.828381580579764E-3</v>
      </c>
      <c r="D99" s="35"/>
      <c r="E99" s="50">
        <f t="shared" si="13"/>
        <v>5.555555555555558E-2</v>
      </c>
      <c r="F99" s="51">
        <f t="shared" si="17"/>
        <v>319.03179838164715</v>
      </c>
      <c r="G99" s="52">
        <f t="shared" si="14"/>
        <v>319.03179838164715</v>
      </c>
    </row>
    <row r="100" spans="1:7" s="38" customFormat="1" ht="15.75" hidden="1" x14ac:dyDescent="0.25">
      <c r="A100" s="35">
        <v>82</v>
      </c>
      <c r="B100" s="48">
        <f t="shared" si="15"/>
        <v>1.4829279807074298</v>
      </c>
      <c r="C100" s="48">
        <f t="shared" si="16"/>
        <v>3.8100299363861695E-3</v>
      </c>
      <c r="D100" s="35"/>
      <c r="E100" s="50">
        <f t="shared" si="13"/>
        <v>4.166666666666663E-2</v>
      </c>
      <c r="F100" s="51">
        <f t="shared" si="17"/>
        <v>238.12687102413537</v>
      </c>
      <c r="G100" s="52">
        <f t="shared" si="14"/>
        <v>238.12687102413537</v>
      </c>
    </row>
    <row r="101" spans="1:7" s="38" customFormat="1" ht="15.75" hidden="1" x14ac:dyDescent="0.25">
      <c r="A101" s="35">
        <v>83</v>
      </c>
      <c r="B101" s="48">
        <f t="shared" si="15"/>
        <v>1.4900707504811705</v>
      </c>
      <c r="C101" s="48">
        <f t="shared" si="16"/>
        <v>3.7917662622231284E-3</v>
      </c>
      <c r="D101" s="35"/>
      <c r="E101" s="50">
        <f t="shared" si="13"/>
        <v>2.777777777777779E-2</v>
      </c>
      <c r="F101" s="51">
        <f>$G$5*E101*C101</f>
        <v>157.99026092596375</v>
      </c>
      <c r="G101" s="52">
        <f t="shared" si="14"/>
        <v>157.99026092596375</v>
      </c>
    </row>
    <row r="102" spans="1:7" s="38" customFormat="1" ht="15.75" hidden="1" x14ac:dyDescent="0.25">
      <c r="A102" s="35">
        <v>84</v>
      </c>
      <c r="B102" s="48">
        <f t="shared" si="15"/>
        <v>1.4972479245959882</v>
      </c>
      <c r="C102" s="48">
        <f t="shared" si="16"/>
        <v>3.7735901363994706E-3</v>
      </c>
      <c r="D102" s="35"/>
      <c r="E102" s="50">
        <f t="shared" si="13"/>
        <v>1.388888888888884E-2</v>
      </c>
      <c r="F102" s="51">
        <f>$G$5*E102*C102</f>
        <v>78.616461174988686</v>
      </c>
      <c r="G102" s="52">
        <f t="shared" si="14"/>
        <v>78.616461174988686</v>
      </c>
    </row>
    <row r="103" spans="1:7" s="38" customFormat="1" ht="15.75" hidden="1" x14ac:dyDescent="0.25">
      <c r="A103" s="35">
        <v>85</v>
      </c>
      <c r="B103" s="48">
        <f t="shared" ref="B103:B118" si="18">POWER($G$14,A103)</f>
        <v>1.5044596687661258</v>
      </c>
      <c r="C103" s="48">
        <f t="shared" ref="C103:C118" si="19">($G$8-$G$9)/B103</f>
        <v>3.7555011392454377E-3</v>
      </c>
      <c r="D103" s="35"/>
      <c r="E103" s="50">
        <f t="shared" ref="E103:E118" si="20">IF(A103&lt;=$G$11,1-((A103-($G$12+1))/($G$11-$G$12)),0)</f>
        <v>0</v>
      </c>
      <c r="F103" s="51">
        <f t="shared" ref="F103:F117" si="21">$G$5*E103*C103</f>
        <v>0</v>
      </c>
      <c r="G103" s="52">
        <f t="shared" ref="G103:G118" si="22">IF(A103&lt;=$G$12,D103,F103)</f>
        <v>0</v>
      </c>
    </row>
    <row r="104" spans="1:7" s="38" customFormat="1" ht="15.75" hidden="1" x14ac:dyDescent="0.25">
      <c r="A104" s="35">
        <v>86</v>
      </c>
      <c r="B104" s="48">
        <f t="shared" si="18"/>
        <v>1.5117061495040156</v>
      </c>
      <c r="C104" s="48">
        <f t="shared" si="19"/>
        <v>3.7374988531029929E-3</v>
      </c>
      <c r="D104" s="35"/>
      <c r="E104" s="50">
        <f t="shared" si="20"/>
        <v>0</v>
      </c>
      <c r="F104" s="51">
        <f t="shared" si="21"/>
        <v>0</v>
      </c>
      <c r="G104" s="52">
        <f t="shared" si="22"/>
        <v>0</v>
      </c>
    </row>
    <row r="105" spans="1:7" s="38" customFormat="1" ht="15.75" hidden="1" x14ac:dyDescent="0.25">
      <c r="A105" s="35">
        <v>87</v>
      </c>
      <c r="B105" s="48">
        <f t="shared" si="18"/>
        <v>1.5189875341241272</v>
      </c>
      <c r="C105" s="48">
        <f t="shared" si="19"/>
        <v>3.7195828623161685E-3</v>
      </c>
      <c r="D105" s="35"/>
      <c r="E105" s="50">
        <f t="shared" si="20"/>
        <v>0</v>
      </c>
      <c r="F105" s="51">
        <f t="shared" si="21"/>
        <v>0</v>
      </c>
      <c r="G105" s="52">
        <f t="shared" si="22"/>
        <v>0</v>
      </c>
    </row>
    <row r="106" spans="1:7" s="38" customFormat="1" ht="15.75" hidden="1" x14ac:dyDescent="0.25">
      <c r="A106" s="35">
        <v>88</v>
      </c>
      <c r="B106" s="48">
        <f t="shared" si="18"/>
        <v>1.5263039907468245</v>
      </c>
      <c r="C106" s="48">
        <f t="shared" si="19"/>
        <v>3.701752753221486E-3</v>
      </c>
      <c r="D106" s="35"/>
      <c r="E106" s="50">
        <f t="shared" si="20"/>
        <v>0</v>
      </c>
      <c r="F106" s="51">
        <f t="shared" si="21"/>
        <v>0</v>
      </c>
      <c r="G106" s="52">
        <f t="shared" si="22"/>
        <v>0</v>
      </c>
    </row>
    <row r="107" spans="1:7" s="38" customFormat="1" ht="15.75" hidden="1" x14ac:dyDescent="0.25">
      <c r="A107" s="35">
        <v>89</v>
      </c>
      <c r="B107" s="48">
        <f t="shared" si="18"/>
        <v>1.533655688302255</v>
      </c>
      <c r="C107" s="48">
        <f t="shared" si="19"/>
        <v>3.6840081141383866E-3</v>
      </c>
      <c r="D107" s="35"/>
      <c r="E107" s="50">
        <f t="shared" si="20"/>
        <v>0</v>
      </c>
      <c r="F107" s="51">
        <f t="shared" si="21"/>
        <v>0</v>
      </c>
      <c r="G107" s="52">
        <f t="shared" si="22"/>
        <v>0</v>
      </c>
    </row>
    <row r="108" spans="1:7" s="38" customFormat="1" ht="15.75" hidden="1" x14ac:dyDescent="0.25">
      <c r="A108" s="35">
        <v>90</v>
      </c>
      <c r="B108" s="48">
        <f t="shared" si="18"/>
        <v>1.5410427965342444</v>
      </c>
      <c r="C108" s="48">
        <f t="shared" si="19"/>
        <v>3.6663485353597368E-3</v>
      </c>
      <c r="D108" s="35"/>
      <c r="E108" s="50">
        <f t="shared" si="20"/>
        <v>0</v>
      </c>
      <c r="F108" s="51">
        <f t="shared" si="21"/>
        <v>0</v>
      </c>
      <c r="G108" s="52">
        <f t="shared" si="22"/>
        <v>0</v>
      </c>
    </row>
    <row r="109" spans="1:7" s="38" customFormat="1" ht="15.75" hidden="1" x14ac:dyDescent="0.25">
      <c r="A109" s="35">
        <v>91</v>
      </c>
      <c r="B109" s="48">
        <f t="shared" si="18"/>
        <v>1.548465486004218</v>
      </c>
      <c r="C109" s="48">
        <f t="shared" si="19"/>
        <v>3.6487736091423669E-3</v>
      </c>
      <c r="D109" s="35"/>
      <c r="E109" s="50">
        <f t="shared" si="20"/>
        <v>0</v>
      </c>
      <c r="F109" s="51">
        <f t="shared" si="21"/>
        <v>0</v>
      </c>
      <c r="G109" s="52">
        <f t="shared" si="22"/>
        <v>0</v>
      </c>
    </row>
    <row r="110" spans="1:7" s="38" customFormat="1" ht="15.75" hidden="1" x14ac:dyDescent="0.25">
      <c r="A110" s="35">
        <v>92</v>
      </c>
      <c r="B110" s="48">
        <f t="shared" si="18"/>
        <v>1.5559239280951382</v>
      </c>
      <c r="C110" s="48">
        <f t="shared" si="19"/>
        <v>3.6312829296976565E-3</v>
      </c>
      <c r="D110" s="35"/>
      <c r="E110" s="50">
        <f t="shared" si="20"/>
        <v>0</v>
      </c>
      <c r="F110" s="51">
        <f t="shared" si="21"/>
        <v>0</v>
      </c>
      <c r="G110" s="52">
        <f t="shared" si="22"/>
        <v>0</v>
      </c>
    </row>
    <row r="111" spans="1:7" s="38" customFormat="1" ht="15.75" hidden="1" x14ac:dyDescent="0.25">
      <c r="A111" s="35">
        <v>93</v>
      </c>
      <c r="B111" s="48">
        <f t="shared" si="18"/>
        <v>1.5634182950154631</v>
      </c>
      <c r="C111" s="48">
        <f t="shared" si="19"/>
        <v>3.6138760931821627E-3</v>
      </c>
      <c r="D111" s="35"/>
      <c r="E111" s="50">
        <f t="shared" si="20"/>
        <v>0</v>
      </c>
      <c r="F111" s="51">
        <f t="shared" si="21"/>
        <v>0</v>
      </c>
      <c r="G111" s="52">
        <f t="shared" si="22"/>
        <v>0</v>
      </c>
    </row>
    <row r="112" spans="1:7" s="38" customFormat="1" ht="15.75" hidden="1" x14ac:dyDescent="0.25">
      <c r="A112" s="35">
        <v>94</v>
      </c>
      <c r="B112" s="48">
        <f t="shared" si="18"/>
        <v>1.5709487598031209</v>
      </c>
      <c r="C112" s="48">
        <f t="shared" si="19"/>
        <v>3.5965526976882976E-3</v>
      </c>
      <c r="D112" s="35"/>
      <c r="E112" s="50">
        <f t="shared" si="20"/>
        <v>0</v>
      </c>
      <c r="F112" s="51">
        <f t="shared" si="21"/>
        <v>0</v>
      </c>
      <c r="G112" s="52">
        <f t="shared" si="22"/>
        <v>0</v>
      </c>
    </row>
    <row r="113" spans="1:7" s="38" customFormat="1" ht="15.75" hidden="1" x14ac:dyDescent="0.25">
      <c r="A113" s="35">
        <v>95</v>
      </c>
      <c r="B113" s="48">
        <f t="shared" si="18"/>
        <v>1.5785154963295065</v>
      </c>
      <c r="C113" s="48">
        <f t="shared" si="19"/>
        <v>3.5793123432350474E-3</v>
      </c>
      <c r="D113" s="35"/>
      <c r="E113" s="50">
        <f t="shared" si="20"/>
        <v>0</v>
      </c>
      <c r="F113" s="51">
        <f t="shared" si="21"/>
        <v>0</v>
      </c>
      <c r="G113" s="52">
        <f t="shared" si="22"/>
        <v>0</v>
      </c>
    </row>
    <row r="114" spans="1:7" s="38" customFormat="1" ht="15.75" hidden="1" x14ac:dyDescent="0.25">
      <c r="A114" s="35">
        <v>96</v>
      </c>
      <c r="B114" s="48">
        <f t="shared" si="18"/>
        <v>1.5861186793034932</v>
      </c>
      <c r="C114" s="48">
        <f t="shared" si="19"/>
        <v>3.5621546317587439E-3</v>
      </c>
      <c r="D114" s="35"/>
      <c r="E114" s="50">
        <f t="shared" si="20"/>
        <v>0</v>
      </c>
      <c r="F114" s="51">
        <f t="shared" si="21"/>
        <v>0</v>
      </c>
      <c r="G114" s="52">
        <f t="shared" si="22"/>
        <v>0</v>
      </c>
    </row>
    <row r="115" spans="1:7" s="38" customFormat="1" ht="15.75" hidden="1" x14ac:dyDescent="0.25">
      <c r="A115" s="35">
        <v>97</v>
      </c>
      <c r="B115" s="48">
        <f t="shared" si="18"/>
        <v>1.5937584842754717</v>
      </c>
      <c r="C115" s="48">
        <f t="shared" si="19"/>
        <v>3.5450791671038599E-3</v>
      </c>
      <c r="D115" s="35"/>
      <c r="E115" s="50">
        <f t="shared" si="20"/>
        <v>0</v>
      </c>
      <c r="F115" s="51">
        <f t="shared" si="21"/>
        <v>0</v>
      </c>
      <c r="G115" s="52">
        <f t="shared" si="22"/>
        <v>0</v>
      </c>
    </row>
    <row r="116" spans="1:7" s="38" customFormat="1" ht="15.75" hidden="1" x14ac:dyDescent="0.25">
      <c r="A116" s="35">
        <v>98</v>
      </c>
      <c r="B116" s="48">
        <f t="shared" si="18"/>
        <v>1.6014350876413985</v>
      </c>
      <c r="C116" s="48">
        <f t="shared" si="19"/>
        <v>3.5280855550138767E-3</v>
      </c>
      <c r="D116" s="35"/>
      <c r="E116" s="50">
        <f t="shared" si="20"/>
        <v>0</v>
      </c>
      <c r="F116" s="51">
        <f t="shared" si="21"/>
        <v>0</v>
      </c>
      <c r="G116" s="52">
        <f t="shared" si="22"/>
        <v>0</v>
      </c>
    </row>
    <row r="117" spans="1:7" s="38" customFormat="1" ht="15.75" hidden="1" x14ac:dyDescent="0.25">
      <c r="A117" s="35">
        <v>99</v>
      </c>
      <c r="B117" s="48">
        <f t="shared" si="18"/>
        <v>1.6091486666468715</v>
      </c>
      <c r="C117" s="48">
        <f t="shared" si="19"/>
        <v>3.5111734031221709E-3</v>
      </c>
      <c r="D117" s="35"/>
      <c r="E117" s="50">
        <f t="shared" si="20"/>
        <v>0</v>
      </c>
      <c r="F117" s="51">
        <f t="shared" si="21"/>
        <v>0</v>
      </c>
      <c r="G117" s="52">
        <f t="shared" si="22"/>
        <v>0</v>
      </c>
    </row>
    <row r="118" spans="1:7" s="38" customFormat="1" ht="15.75" hidden="1" x14ac:dyDescent="0.25">
      <c r="A118" s="35">
        <v>100</v>
      </c>
      <c r="B118" s="48">
        <f t="shared" si="18"/>
        <v>1.6168993993912204</v>
      </c>
      <c r="C118" s="48">
        <f t="shared" si="19"/>
        <v>3.4943423209429629E-3</v>
      </c>
      <c r="D118" s="35"/>
      <c r="E118" s="50">
        <f t="shared" si="20"/>
        <v>0</v>
      </c>
      <c r="F118" s="51">
        <f t="shared" ref="F118:F123" si="23">$G$5*E118*C118</f>
        <v>0</v>
      </c>
      <c r="G118" s="52">
        <f t="shared" si="22"/>
        <v>0</v>
      </c>
    </row>
    <row r="119" spans="1:7" s="38" customFormat="1" ht="15.75" hidden="1" x14ac:dyDescent="0.25">
      <c r="A119" s="35">
        <v>101</v>
      </c>
      <c r="B119" s="48">
        <f>POWER($G$14,A119)</f>
        <v>1.6246874648316216</v>
      </c>
      <c r="C119" s="48">
        <f>($G$8-$G$9)/B119</f>
        <v>3.4775919198622922E-3</v>
      </c>
      <c r="D119" s="35"/>
      <c r="E119" s="50">
        <f>IF(A119&lt;=$G$11,1-((A119-($G$12+1))/($G$11-$G$12)),0)</f>
        <v>0</v>
      </c>
      <c r="F119" s="51">
        <f t="shared" si="23"/>
        <v>0</v>
      </c>
      <c r="G119" s="52">
        <f>IF(A119&lt;=$G$12,D119,F119)</f>
        <v>0</v>
      </c>
    </row>
    <row r="120" spans="1:7" s="38" customFormat="1" ht="15.75" hidden="1" x14ac:dyDescent="0.25">
      <c r="A120" s="35">
        <v>102</v>
      </c>
      <c r="B120" s="48">
        <f>POWER($G$14,A120)</f>
        <v>1.632513042787227</v>
      </c>
      <c r="C120" s="48">
        <f>($G$8-$G$9)/B120</f>
        <v>3.4609218131290546E-3</v>
      </c>
      <c r="D120" s="35"/>
      <c r="E120" s="50">
        <f>IF(A120&lt;=$G$11,1-((A120-($G$12+1))/($G$11-$G$12)),0)</f>
        <v>0</v>
      </c>
      <c r="F120" s="51">
        <f t="shared" si="23"/>
        <v>0</v>
      </c>
      <c r="G120" s="52">
        <f>IF(A120&lt;=$G$12,D120,F120)</f>
        <v>0</v>
      </c>
    </row>
    <row r="121" spans="1:7" s="38" customFormat="1" ht="15.75" hidden="1" x14ac:dyDescent="0.25">
      <c r="A121" s="35">
        <v>103</v>
      </c>
      <c r="B121" s="48">
        <f>POWER($G$14,A121)</f>
        <v>1.6403763139433194</v>
      </c>
      <c r="C121" s="48">
        <f>($G$8-$G$9)/B121</f>
        <v>3.4443316158460613E-3</v>
      </c>
      <c r="D121" s="35"/>
      <c r="E121" s="50">
        <f>IF(A121&lt;=$G$11,1-((A121-($G$12+1))/($G$11-$G$12)),0)</f>
        <v>0</v>
      </c>
      <c r="F121" s="51">
        <f t="shared" si="23"/>
        <v>0</v>
      </c>
      <c r="G121" s="52">
        <f>IF(A121&lt;=$G$12,D121,F121)</f>
        <v>0</v>
      </c>
    </row>
    <row r="122" spans="1:7" s="38" customFormat="1" ht="15.75" hidden="1" x14ac:dyDescent="0.25">
      <c r="A122" s="35">
        <v>104</v>
      </c>
      <c r="B122" s="48">
        <f>POWER($G$14,A122)</f>
        <v>1.6482774598554795</v>
      </c>
      <c r="C122" s="48">
        <f>($G$8-$G$9)/B122</f>
        <v>3.427820944961166E-3</v>
      </c>
      <c r="D122" s="35"/>
      <c r="E122" s="50">
        <f>IF(A122&lt;=$G$11,1-((A122-($G$12+1))/($G$11-$G$12)),0)</f>
        <v>0</v>
      </c>
      <c r="F122" s="51">
        <f t="shared" si="23"/>
        <v>0</v>
      </c>
      <c r="G122" s="52">
        <f>IF(A122&lt;=$G$12,D122,F122)</f>
        <v>0</v>
      </c>
    </row>
    <row r="123" spans="1:7" s="38" customFormat="1" ht="15.75" hidden="1" x14ac:dyDescent="0.25">
      <c r="A123" s="35">
        <v>105</v>
      </c>
      <c r="B123" s="48">
        <f>POWER($G$14,A123)</f>
        <v>1.6562166629537831</v>
      </c>
      <c r="C123" s="48">
        <f>($G$8-$G$9)/B123</f>
        <v>3.4113894192584048E-3</v>
      </c>
      <c r="D123" s="35"/>
      <c r="E123" s="50">
        <f>IF(A123&lt;=$G$11,1-((A123-($G$12+1))/($G$11-$G$12)),0)</f>
        <v>0</v>
      </c>
      <c r="F123" s="51">
        <f t="shared" si="23"/>
        <v>0</v>
      </c>
      <c r="G123" s="52">
        <f>IF(A123&lt;=$G$12,D123,F123)</f>
        <v>0</v>
      </c>
    </row>
    <row r="124" spans="1:7" s="38" customFormat="1" ht="15.75" hidden="1" x14ac:dyDescent="0.25">
      <c r="A124" s="35">
        <v>106</v>
      </c>
      <c r="B124" s="48">
        <f t="shared" ref="B124:B138" si="24">POWER($G$14,A124)</f>
        <v>1.6641941065470107</v>
      </c>
      <c r="C124" s="48">
        <f t="shared" ref="C124:C138" si="25">($G$8-$G$9)/B124</f>
        <v>3.395036659349206E-3</v>
      </c>
      <c r="D124" s="35"/>
      <c r="E124" s="50">
        <f t="shared" ref="E124:E138" si="26">IF(A124&lt;=$G$11,1-((A124-($G$12+1))/($G$11-$G$12)),0)</f>
        <v>0</v>
      </c>
      <c r="F124" s="51">
        <f t="shared" ref="F124:F138" si="27">$G$5*E124*C124</f>
        <v>0</v>
      </c>
      <c r="G124" s="52">
        <f t="shared" ref="G124:G138" si="28">IF(A124&lt;=$G$12,D124,F124)</f>
        <v>0</v>
      </c>
    </row>
    <row r="125" spans="1:7" s="38" customFormat="1" ht="15.75" hidden="1" x14ac:dyDescent="0.25">
      <c r="A125" s="35">
        <v>107</v>
      </c>
      <c r="B125" s="48">
        <f t="shared" si="24"/>
        <v>1.6722099748268793</v>
      </c>
      <c r="C125" s="48">
        <f t="shared" si="25"/>
        <v>3.3787622876636251E-3</v>
      </c>
      <c r="D125" s="35"/>
      <c r="E125" s="50">
        <f t="shared" si="26"/>
        <v>0</v>
      </c>
      <c r="F125" s="51">
        <f t="shared" si="27"/>
        <v>0</v>
      </c>
      <c r="G125" s="52">
        <f t="shared" si="28"/>
        <v>0</v>
      </c>
    </row>
    <row r="126" spans="1:7" s="38" customFormat="1" ht="15.75" hidden="1" x14ac:dyDescent="0.25">
      <c r="A126" s="35">
        <v>108</v>
      </c>
      <c r="B126" s="48">
        <f t="shared" si="24"/>
        <v>1.680264452872295</v>
      </c>
      <c r="C126" s="48">
        <f t="shared" si="25"/>
        <v>3.3625659284416323E-3</v>
      </c>
      <c r="D126" s="35"/>
      <c r="E126" s="50">
        <f t="shared" si="26"/>
        <v>0</v>
      </c>
      <c r="F126" s="51">
        <f t="shared" si="27"/>
        <v>0</v>
      </c>
      <c r="G126" s="52">
        <f t="shared" si="28"/>
        <v>0</v>
      </c>
    </row>
    <row r="127" spans="1:7" s="38" customFormat="1" ht="15.75" hidden="1" x14ac:dyDescent="0.25">
      <c r="A127" s="35">
        <v>109</v>
      </c>
      <c r="B127" s="48">
        <f t="shared" si="24"/>
        <v>1.6883577266536303</v>
      </c>
      <c r="C127" s="48">
        <f t="shared" si="25"/>
        <v>3.3464472077244256E-3</v>
      </c>
      <c r="D127" s="35"/>
      <c r="E127" s="50">
        <f t="shared" si="26"/>
        <v>0</v>
      </c>
      <c r="F127" s="51">
        <f t="shared" si="27"/>
        <v>0</v>
      </c>
      <c r="G127" s="52">
        <f t="shared" si="28"/>
        <v>0</v>
      </c>
    </row>
    <row r="128" spans="1:7" s="38" customFormat="1" ht="15.75" hidden="1" x14ac:dyDescent="0.25">
      <c r="A128" s="35">
        <v>110</v>
      </c>
      <c r="B128" s="48">
        <f t="shared" si="24"/>
        <v>1.6964899830370115</v>
      </c>
      <c r="C128" s="48">
        <f t="shared" si="25"/>
        <v>3.3304057533458105E-3</v>
      </c>
      <c r="D128" s="35"/>
      <c r="E128" s="50">
        <f t="shared" si="26"/>
        <v>0</v>
      </c>
      <c r="F128" s="51">
        <f t="shared" si="27"/>
        <v>0</v>
      </c>
      <c r="G128" s="52">
        <f t="shared" si="28"/>
        <v>0</v>
      </c>
    </row>
    <row r="129" spans="1:15" s="38" customFormat="1" ht="15.75" hidden="1" x14ac:dyDescent="0.25">
      <c r="A129" s="35">
        <v>111</v>
      </c>
      <c r="B129" s="48">
        <f t="shared" si="24"/>
        <v>1.7046614097886403</v>
      </c>
      <c r="C129" s="48">
        <f t="shared" si="25"/>
        <v>3.3144411949235942E-3</v>
      </c>
      <c r="D129" s="35"/>
      <c r="E129" s="50">
        <f t="shared" si="26"/>
        <v>0</v>
      </c>
      <c r="F129" s="51">
        <f t="shared" si="27"/>
        <v>0</v>
      </c>
      <c r="G129" s="52">
        <f t="shared" si="28"/>
        <v>0</v>
      </c>
    </row>
    <row r="130" spans="1:15" s="38" customFormat="1" ht="15.75" hidden="1" x14ac:dyDescent="0.25">
      <c r="A130" s="35">
        <v>112</v>
      </c>
      <c r="B130" s="48">
        <f t="shared" si="24"/>
        <v>1.7128721955791222</v>
      </c>
      <c r="C130" s="48">
        <f t="shared" si="25"/>
        <v>3.2985531638510452E-3</v>
      </c>
      <c r="D130" s="35"/>
      <c r="E130" s="50">
        <f t="shared" si="26"/>
        <v>0</v>
      </c>
      <c r="F130" s="51">
        <f t="shared" si="27"/>
        <v>0</v>
      </c>
      <c r="G130" s="52">
        <f t="shared" si="28"/>
        <v>0</v>
      </c>
    </row>
    <row r="131" spans="1:15" s="38" customFormat="1" ht="15.75" hidden="1" x14ac:dyDescent="0.25">
      <c r="A131" s="35">
        <v>113</v>
      </c>
      <c r="B131" s="48">
        <f t="shared" si="24"/>
        <v>1.7211225299878279</v>
      </c>
      <c r="C131" s="48">
        <f t="shared" si="25"/>
        <v>3.2827412932883737E-3</v>
      </c>
      <c r="D131" s="35"/>
      <c r="E131" s="50">
        <f t="shared" si="26"/>
        <v>0</v>
      </c>
      <c r="F131" s="51">
        <f t="shared" si="27"/>
        <v>0</v>
      </c>
      <c r="G131" s="52">
        <f t="shared" si="28"/>
        <v>0</v>
      </c>
    </row>
    <row r="132" spans="1:15" s="38" customFormat="1" ht="15.75" hidden="1" x14ac:dyDescent="0.25">
      <c r="A132" s="35">
        <v>114</v>
      </c>
      <c r="B132" s="48">
        <f t="shared" si="24"/>
        <v>1.7294126035072699</v>
      </c>
      <c r="C132" s="48">
        <f t="shared" si="25"/>
        <v>3.2670052181542628E-3</v>
      </c>
      <c r="D132" s="35"/>
      <c r="E132" s="50">
        <f t="shared" si="26"/>
        <v>0</v>
      </c>
      <c r="F132" s="51">
        <f t="shared" si="27"/>
        <v>0</v>
      </c>
      <c r="G132" s="52">
        <f t="shared" si="28"/>
        <v>0</v>
      </c>
    </row>
    <row r="133" spans="1:15" s="38" customFormat="1" ht="15.75" hidden="1" x14ac:dyDescent="0.25">
      <c r="A133" s="35">
        <v>115</v>
      </c>
      <c r="B133" s="48">
        <f t="shared" si="24"/>
        <v>1.7377426075474964</v>
      </c>
      <c r="C133" s="48">
        <f t="shared" si="25"/>
        <v>3.2513445751174474E-3</v>
      </c>
      <c r="D133" s="35"/>
      <c r="E133" s="50">
        <f t="shared" si="26"/>
        <v>0</v>
      </c>
      <c r="F133" s="51">
        <f t="shared" si="27"/>
        <v>0</v>
      </c>
      <c r="G133" s="52">
        <f t="shared" si="28"/>
        <v>0</v>
      </c>
    </row>
    <row r="134" spans="1:15" s="38" customFormat="1" ht="15.75" hidden="1" x14ac:dyDescent="0.25">
      <c r="A134" s="35">
        <v>116</v>
      </c>
      <c r="B134" s="48">
        <f t="shared" si="24"/>
        <v>1.7461127344405172</v>
      </c>
      <c r="C134" s="48">
        <f t="shared" si="25"/>
        <v>3.2357590025883128E-3</v>
      </c>
      <c r="D134" s="35"/>
      <c r="E134" s="50">
        <f t="shared" si="26"/>
        <v>0</v>
      </c>
      <c r="F134" s="51">
        <f t="shared" si="27"/>
        <v>0</v>
      </c>
      <c r="G134" s="52">
        <f t="shared" si="28"/>
        <v>0</v>
      </c>
    </row>
    <row r="135" spans="1:15" s="38" customFormat="1" ht="15.75" hidden="1" x14ac:dyDescent="0.25">
      <c r="A135" s="35">
        <v>117</v>
      </c>
      <c r="B135" s="48">
        <f t="shared" si="24"/>
        <v>1.754523177444739</v>
      </c>
      <c r="C135" s="48">
        <f t="shared" si="25"/>
        <v>3.2202481407105571E-3</v>
      </c>
      <c r="D135" s="35"/>
      <c r="E135" s="50">
        <f t="shared" si="26"/>
        <v>0</v>
      </c>
      <c r="F135" s="51">
        <f t="shared" si="27"/>
        <v>0</v>
      </c>
      <c r="G135" s="52">
        <f t="shared" si="28"/>
        <v>0</v>
      </c>
    </row>
    <row r="136" spans="1:15" s="38" customFormat="1" ht="15.75" hidden="1" x14ac:dyDescent="0.25">
      <c r="A136" s="35">
        <v>118</v>
      </c>
      <c r="B136" s="48">
        <f t="shared" si="24"/>
        <v>1.7629741307494307</v>
      </c>
      <c r="C136" s="48">
        <f t="shared" si="25"/>
        <v>3.204811631352875E-3</v>
      </c>
      <c r="D136" s="35"/>
      <c r="E136" s="50">
        <f t="shared" si="26"/>
        <v>0</v>
      </c>
      <c r="F136" s="51">
        <f t="shared" si="27"/>
        <v>0</v>
      </c>
      <c r="G136" s="52">
        <f t="shared" si="28"/>
        <v>0</v>
      </c>
    </row>
    <row r="137" spans="1:15" s="38" customFormat="1" ht="15.75" hidden="1" x14ac:dyDescent="0.25">
      <c r="A137" s="35">
        <v>119</v>
      </c>
      <c r="B137" s="48">
        <f t="shared" si="24"/>
        <v>1.7714657894792079</v>
      </c>
      <c r="C137" s="48">
        <f t="shared" si="25"/>
        <v>3.1894491181006885E-3</v>
      </c>
      <c r="D137" s="35"/>
      <c r="E137" s="50">
        <f t="shared" si="26"/>
        <v>0</v>
      </c>
      <c r="F137" s="51">
        <f t="shared" si="27"/>
        <v>0</v>
      </c>
      <c r="G137" s="52">
        <f t="shared" si="28"/>
        <v>0</v>
      </c>
    </row>
    <row r="138" spans="1:15" s="38" customFormat="1" ht="12.75" hidden="1" customHeight="1" x14ac:dyDescent="0.25">
      <c r="A138" s="35">
        <v>120</v>
      </c>
      <c r="B138" s="48">
        <f t="shared" si="24"/>
        <v>1.7799983496985321</v>
      </c>
      <c r="C138" s="48">
        <f t="shared" si="25"/>
        <v>3.1741602462479288E-3</v>
      </c>
      <c r="D138" s="35"/>
      <c r="E138" s="50">
        <f t="shared" si="26"/>
        <v>0</v>
      </c>
      <c r="F138" s="51">
        <f t="shared" si="27"/>
        <v>0</v>
      </c>
      <c r="G138" s="52">
        <f t="shared" si="28"/>
        <v>0</v>
      </c>
    </row>
    <row r="139" spans="1:15" s="38" customFormat="1" ht="15.75" hidden="1" thickBot="1" x14ac:dyDescent="0.25">
      <c r="F139" s="53"/>
      <c r="G139" s="54"/>
      <c r="H139" s="55"/>
      <c r="J139" s="56"/>
    </row>
    <row r="140" spans="1:15" ht="21" thickBot="1" x14ac:dyDescent="0.35">
      <c r="A140" s="5" t="s">
        <v>24</v>
      </c>
      <c r="B140" s="4"/>
      <c r="C140" s="4"/>
      <c r="D140" s="4"/>
      <c r="E140" s="4"/>
      <c r="F140" s="6"/>
      <c r="G140" s="32">
        <v>4.2699999999999996</v>
      </c>
      <c r="H140" s="8"/>
      <c r="N140" s="13" t="s">
        <v>27</v>
      </c>
      <c r="O140" s="8">
        <f>IF(O11&lt;0,0,IF(O12&gt;O5,O5,O12))</f>
        <v>922184.69584711222</v>
      </c>
    </row>
    <row r="141" spans="1:15" ht="21" thickBot="1" x14ac:dyDescent="0.35">
      <c r="A141" s="5" t="s">
        <v>29</v>
      </c>
      <c r="B141" s="4"/>
      <c r="C141" s="4"/>
      <c r="D141" s="4"/>
      <c r="E141" s="4"/>
      <c r="F141" s="6"/>
      <c r="G141" s="33">
        <v>300000</v>
      </c>
      <c r="H141" s="8"/>
    </row>
    <row r="142" spans="1:15" ht="15.75" thickBot="1" x14ac:dyDescent="0.25">
      <c r="F142" s="11"/>
      <c r="G142" s="12"/>
      <c r="H142" s="8"/>
    </row>
    <row r="143" spans="1:15" s="15" customFormat="1" ht="39.75" customHeight="1" thickBot="1" x14ac:dyDescent="0.3">
      <c r="A143" s="69" t="s">
        <v>30</v>
      </c>
      <c r="B143" s="69"/>
      <c r="C143" s="69"/>
      <c r="D143" s="69"/>
      <c r="E143" s="70"/>
      <c r="F143" s="58">
        <f t="array" ref="F143">IF(G11&lt;=120,SUM(G19:G138),0)+IF(G12&lt;=18,0,błąd)</f>
        <v>358815.30415288755</v>
      </c>
      <c r="G143" s="59"/>
      <c r="H143" s="14"/>
      <c r="I143" s="14"/>
    </row>
    <row r="144" spans="1:15" s="15" customFormat="1" ht="16.5" thickBot="1" x14ac:dyDescent="0.3">
      <c r="A144" s="16"/>
      <c r="C144" s="16"/>
      <c r="D144" s="16"/>
      <c r="E144" s="17" t="s">
        <v>23</v>
      </c>
      <c r="F144" s="67">
        <f>F143/G140</f>
        <v>84031.687155242995</v>
      </c>
      <c r="G144" s="68"/>
      <c r="H144" s="14" t="str">
        <f>IF(F144&gt;G141,"oprocentowanie rynkowe","")</f>
        <v/>
      </c>
      <c r="I144" s="14"/>
    </row>
    <row r="145" spans="1:15" s="15" customFormat="1" ht="15.75" x14ac:dyDescent="0.25">
      <c r="C145" s="6"/>
      <c r="D145" s="18"/>
      <c r="E145" s="19"/>
      <c r="F145" s="60"/>
      <c r="G145" s="61"/>
      <c r="H145" s="20"/>
    </row>
    <row r="146" spans="1:15" s="15" customFormat="1" ht="39" hidden="1" customHeight="1" thickBot="1" x14ac:dyDescent="0.3">
      <c r="A146" s="69" t="s">
        <v>28</v>
      </c>
      <c r="B146" s="69"/>
      <c r="C146" s="69"/>
      <c r="D146" s="69"/>
      <c r="E146" s="70"/>
      <c r="F146" s="58">
        <f>O140</f>
        <v>922184.69584711222</v>
      </c>
      <c r="G146" s="59"/>
      <c r="H146" s="21"/>
    </row>
    <row r="147" spans="1:15" s="15" customFormat="1" ht="16.5" hidden="1" thickBot="1" x14ac:dyDescent="0.3">
      <c r="A147" s="19"/>
      <c r="C147" s="6"/>
      <c r="D147" s="22"/>
      <c r="E147" s="17" t="s">
        <v>23</v>
      </c>
      <c r="F147" s="67">
        <f>F146/G140</f>
        <v>215968.31284475699</v>
      </c>
      <c r="G147" s="68"/>
      <c r="H147" s="21"/>
    </row>
    <row r="148" spans="1:15" ht="13.5" hidden="1" thickBot="1" x14ac:dyDescent="0.25">
      <c r="A148" s="23"/>
      <c r="C148" s="4"/>
      <c r="D148" s="24"/>
      <c r="E148" s="23"/>
      <c r="F148" s="4"/>
      <c r="G148" s="4"/>
      <c r="H148" s="25"/>
    </row>
    <row r="149" spans="1:15" ht="40.5" hidden="1" customHeight="1" thickBot="1" x14ac:dyDescent="0.25">
      <c r="A149" s="71" t="s">
        <v>31</v>
      </c>
      <c r="B149" s="71"/>
      <c r="C149" s="71"/>
      <c r="D149" s="71"/>
      <c r="E149" s="72"/>
      <c r="F149" s="73">
        <f>F143+F146</f>
        <v>1280999.9999999998</v>
      </c>
      <c r="G149" s="74"/>
      <c r="H149" s="25"/>
      <c r="O149" s="26">
        <f>F143+F146</f>
        <v>1280999.9999999998</v>
      </c>
    </row>
    <row r="150" spans="1:15" ht="16.5" hidden="1" thickBot="1" x14ac:dyDescent="0.3">
      <c r="A150" s="23"/>
      <c r="C150" s="4"/>
      <c r="D150" s="24"/>
      <c r="E150" s="23"/>
      <c r="F150" s="67">
        <f>F149/G140</f>
        <v>300000</v>
      </c>
      <c r="G150" s="68"/>
      <c r="H150" s="25"/>
      <c r="O150" s="10">
        <f>F144+F147</f>
        <v>300000</v>
      </c>
    </row>
    <row r="151" spans="1:15" x14ac:dyDescent="0.2">
      <c r="A151" s="23"/>
      <c r="C151" s="4"/>
      <c r="D151" s="24"/>
      <c r="E151" s="23"/>
      <c r="F151" s="4"/>
      <c r="G151" s="4"/>
      <c r="H151" s="25"/>
    </row>
    <row r="152" spans="1:15" ht="12.75" customHeight="1" x14ac:dyDescent="0.2">
      <c r="A152" s="57" t="s">
        <v>21</v>
      </c>
      <c r="B152" s="57"/>
      <c r="C152" s="57"/>
      <c r="D152" s="57"/>
      <c r="E152" s="57"/>
      <c r="F152" s="57"/>
      <c r="G152" s="57"/>
      <c r="H152" s="57"/>
    </row>
    <row r="153" spans="1:15" ht="22.5" customHeight="1" x14ac:dyDescent="0.2">
      <c r="A153" s="57"/>
      <c r="B153" s="57"/>
      <c r="C153" s="57"/>
      <c r="D153" s="57"/>
      <c r="E153" s="57"/>
      <c r="F153" s="57"/>
      <c r="G153" s="57"/>
      <c r="H153" s="57"/>
    </row>
    <row r="154" spans="1:15" x14ac:dyDescent="0.2">
      <c r="B154" s="24"/>
      <c r="C154" s="23"/>
      <c r="D154" s="27"/>
      <c r="E154" s="27"/>
      <c r="F154" s="23"/>
      <c r="G154" s="23"/>
      <c r="H154" s="24"/>
    </row>
    <row r="155" spans="1:15" x14ac:dyDescent="0.2">
      <c r="A155" s="2" t="s">
        <v>19</v>
      </c>
      <c r="B155" s="24"/>
      <c r="C155" s="23"/>
      <c r="D155" s="28"/>
      <c r="E155" s="27"/>
      <c r="F155" s="23"/>
      <c r="G155" s="23"/>
      <c r="H155" s="24"/>
    </row>
    <row r="156" spans="1:15" x14ac:dyDescent="0.2">
      <c r="A156" s="2" t="s">
        <v>20</v>
      </c>
      <c r="B156" s="24"/>
      <c r="C156" s="29"/>
      <c r="D156" s="30"/>
      <c r="E156" s="30"/>
      <c r="F156" s="23"/>
      <c r="G156" s="23"/>
      <c r="H156" s="24"/>
    </row>
    <row r="157" spans="1:15" x14ac:dyDescent="0.2">
      <c r="B157" s="24"/>
      <c r="C157" s="24"/>
      <c r="D157" s="24"/>
      <c r="E157" s="24"/>
      <c r="F157" s="24"/>
      <c r="G157" s="24"/>
      <c r="H157" s="24"/>
    </row>
    <row r="158" spans="1:15" x14ac:dyDescent="0.2">
      <c r="A158" s="2" t="s">
        <v>32</v>
      </c>
      <c r="B158" s="24"/>
      <c r="C158" s="24"/>
      <c r="D158" s="24"/>
      <c r="E158" s="24"/>
      <c r="F158" s="24"/>
      <c r="G158" s="24"/>
      <c r="H158" s="24"/>
    </row>
    <row r="159" spans="1:15" hidden="1" x14ac:dyDescent="0.2">
      <c r="A159" s="2" t="s">
        <v>33</v>
      </c>
      <c r="B159" s="24"/>
      <c r="C159" s="24"/>
      <c r="D159" s="24"/>
      <c r="E159" s="24"/>
      <c r="F159" s="24"/>
      <c r="G159" s="24"/>
      <c r="H159" s="24"/>
    </row>
    <row r="160" spans="1:15" x14ac:dyDescent="0.2">
      <c r="B160" s="24"/>
      <c r="C160" s="24"/>
      <c r="D160" s="24"/>
      <c r="E160" s="24"/>
      <c r="F160" s="24"/>
      <c r="G160" s="24"/>
      <c r="H160" s="24"/>
    </row>
    <row r="161" spans="2:8" x14ac:dyDescent="0.2">
      <c r="B161" s="24"/>
      <c r="C161" s="24"/>
      <c r="D161" s="24"/>
      <c r="E161" s="24"/>
      <c r="F161" s="24"/>
      <c r="G161" s="24"/>
      <c r="H161" s="24"/>
    </row>
  </sheetData>
  <sheetProtection password="DD2F" sheet="1" objects="1" scenarios="1"/>
  <mergeCells count="15">
    <mergeCell ref="A152:H153"/>
    <mergeCell ref="F143:G143"/>
    <mergeCell ref="F145:G145"/>
    <mergeCell ref="A2:G2"/>
    <mergeCell ref="A1:G1"/>
    <mergeCell ref="A3:G3"/>
    <mergeCell ref="E4:G4"/>
    <mergeCell ref="F144:G144"/>
    <mergeCell ref="A146:E146"/>
    <mergeCell ref="F146:G146"/>
    <mergeCell ref="F147:G147"/>
    <mergeCell ref="A143:E143"/>
    <mergeCell ref="A149:E149"/>
    <mergeCell ref="F149:G149"/>
    <mergeCell ref="F150:G150"/>
  </mergeCells>
  <phoneticPr fontId="0" type="noConversion"/>
  <conditionalFormatting sqref="F144:G144">
    <cfRule type="cellIs" dxfId="1" priority="2" operator="greaterThan">
      <formula>$G$141</formula>
    </cfRule>
  </conditionalFormatting>
  <conditionalFormatting sqref="F150:G150">
    <cfRule type="cellIs" dxfId="0" priority="1" operator="greaterThan">
      <formula>$G$141</formula>
    </cfRule>
  </conditionalFormatting>
  <pageMargins left="0.7" right="0.7" top="0.75" bottom="0.75" header="0.3" footer="0.3"/>
  <pageSetup paperSize="9" scale="74" orientation="portrait" r:id="rId1"/>
  <headerFooter alignWithMargins="0"/>
  <cellWatches>
    <cellWatch r="G11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MIESIECZNY</vt:lpstr>
      <vt:lpstr>MIESIECZNY!Obszar_wydruku</vt:lpstr>
    </vt:vector>
  </TitlesOfParts>
  <Company>Fundusz Górnośląski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andrzejk</dc:creator>
  <cp:lastModifiedBy>Grzegorz Cłapiński</cp:lastModifiedBy>
  <cp:lastPrinted>2018-04-06T12:21:06Z</cp:lastPrinted>
  <dcterms:created xsi:type="dcterms:W3CDTF">2007-01-03T12:44:55Z</dcterms:created>
  <dcterms:modified xsi:type="dcterms:W3CDTF">2025-09-05T09:03:27Z</dcterms:modified>
</cp:coreProperties>
</file>